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loblecpt-my.sharepoint.com/personal/josebartissol_globlec_pt/Documents/Ambiente de Trabalho/"/>
    </mc:Choice>
  </mc:AlternateContent>
  <xr:revisionPtr revIDLastSave="1" documentId="13_ncr:1_{AA0891C2-89F2-4A7B-8D73-07E270137611}" xr6:coauthVersionLast="47" xr6:coauthVersionMax="47" xr10:uidLastSave="{A518BB46-E73D-4883-9F6F-88C00385D679}"/>
  <bookViews>
    <workbookView xWindow="28680" yWindow="-120" windowWidth="29040" windowHeight="15720" xr2:uid="{F208BC8E-4A25-494F-8A8D-07CA5EE813EF}"/>
  </bookViews>
  <sheets>
    <sheet name="Portefólio PROFISSIONAL (B2B)" sheetId="5" r:id="rId1"/>
  </sheets>
  <externalReferences>
    <externalReference r:id="rId2"/>
  </externalReferences>
  <definedNames>
    <definedName name="_xlnm._FilterDatabase" localSheetId="0" hidden="1">'Portefólio PROFISSIONAL (B2B)'!$A$2:$N$3319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9" i="5" l="1"/>
  <c r="G539" i="5" l="1"/>
  <c r="G538" i="5"/>
  <c r="G537" i="5"/>
  <c r="G536" i="5"/>
  <c r="G535" i="5"/>
  <c r="G534" i="5"/>
  <c r="G519" i="5"/>
  <c r="G518" i="5"/>
  <c r="G517" i="5"/>
  <c r="G516" i="5"/>
  <c r="G515" i="5"/>
  <c r="G514" i="5"/>
  <c r="G513" i="5"/>
  <c r="G512" i="5"/>
  <c r="G206" i="5"/>
  <c r="G45" i="5"/>
  <c r="G43" i="5"/>
  <c r="G41" i="5"/>
  <c r="G39" i="5"/>
  <c r="G44" i="5"/>
  <c r="G42" i="5"/>
  <c r="G40" i="5"/>
  <c r="G38" i="5"/>
  <c r="G56" i="5"/>
  <c r="G53" i="5"/>
  <c r="G50" i="5"/>
  <c r="G47" i="5"/>
  <c r="G55" i="5"/>
  <c r="G52" i="5"/>
  <c r="G49" i="5"/>
  <c r="G46" i="5"/>
  <c r="G57" i="5"/>
  <c r="G54" i="5"/>
  <c r="G51" i="5"/>
  <c r="G48" i="5"/>
  <c r="G36" i="5"/>
  <c r="G35" i="5"/>
  <c r="G34" i="5"/>
  <c r="G33" i="5"/>
  <c r="G27" i="5"/>
  <c r="G26" i="5"/>
  <c r="G25" i="5"/>
  <c r="G24" i="5"/>
  <c r="G32" i="5"/>
  <c r="G31" i="5"/>
  <c r="G30" i="5"/>
  <c r="G29" i="5"/>
  <c r="G23" i="5"/>
  <c r="G22" i="5"/>
  <c r="G21" i="5"/>
  <c r="G20" i="5"/>
  <c r="G256" i="5"/>
  <c r="G255" i="5"/>
  <c r="G257" i="5"/>
  <c r="G253" i="5"/>
  <c r="G252" i="5"/>
  <c r="G254" i="5"/>
  <c r="G250" i="5"/>
  <c r="G249" i="5"/>
  <c r="G251" i="5"/>
  <c r="G985" i="5"/>
  <c r="G984" i="5"/>
  <c r="G983" i="5"/>
  <c r="G982" i="5"/>
  <c r="G978" i="5"/>
  <c r="G979" i="5"/>
  <c r="G976" i="5"/>
  <c r="G975" i="5"/>
  <c r="G974" i="5"/>
  <c r="G138" i="5"/>
  <c r="G142" i="5"/>
  <c r="G141" i="5"/>
  <c r="G140" i="5"/>
  <c r="G139" i="5"/>
  <c r="G1610" i="5"/>
  <c r="G903" i="5"/>
  <c r="G902" i="5"/>
  <c r="G901" i="5"/>
  <c r="G899" i="5"/>
  <c r="G897" i="5"/>
  <c r="G900" i="5"/>
  <c r="G898" i="5"/>
  <c r="G896" i="5"/>
  <c r="G895" i="5"/>
  <c r="G893" i="5"/>
  <c r="G894" i="5"/>
  <c r="G892" i="5"/>
  <c r="G675" i="5"/>
  <c r="G674" i="5"/>
  <c r="G1215" i="5" l="1"/>
  <c r="G1214" i="5"/>
  <c r="G1213" i="5"/>
  <c r="G1212" i="5"/>
  <c r="G1211" i="5"/>
  <c r="G1210" i="5"/>
  <c r="G1163" i="5" l="1"/>
  <c r="G678" i="5" l="1"/>
  <c r="G680" i="5"/>
  <c r="G682" i="5"/>
  <c r="G677" i="5"/>
  <c r="G679" i="5"/>
  <c r="G681" i="5"/>
  <c r="G2916" i="5" l="1"/>
  <c r="G2359" i="5"/>
  <c r="G2357" i="5"/>
  <c r="G2354" i="5"/>
  <c r="G2353" i="5"/>
  <c r="G2179" i="5"/>
  <c r="G2178" i="5"/>
  <c r="G2177" i="5"/>
  <c r="G2174" i="5"/>
  <c r="G2168" i="5"/>
  <c r="G2162" i="5"/>
  <c r="G2159" i="5"/>
  <c r="G2152" i="5"/>
  <c r="G2149" i="5"/>
  <c r="G1905" i="5"/>
  <c r="G1904" i="5"/>
  <c r="G1064" i="5"/>
  <c r="G1063" i="5"/>
  <c r="G1061" i="5"/>
  <c r="G1060" i="5"/>
  <c r="G1059" i="5"/>
  <c r="G1058" i="5"/>
  <c r="G393" i="5"/>
  <c r="G392" i="5"/>
  <c r="G390" i="5"/>
  <c r="G389" i="5"/>
  <c r="G197" i="5"/>
  <c r="G196" i="5"/>
  <c r="G147" i="5"/>
  <c r="G146" i="5"/>
  <c r="G145" i="5"/>
  <c r="G144" i="5"/>
  <c r="G136" i="5"/>
  <c r="G135" i="5"/>
  <c r="G134" i="5"/>
  <c r="G133" i="5"/>
  <c r="G132" i="5"/>
  <c r="G3319" i="5" l="1"/>
  <c r="G3318" i="5"/>
  <c r="G3317" i="5"/>
  <c r="G3316" i="5"/>
  <c r="G3315" i="5"/>
  <c r="G3314" i="5"/>
  <c r="G3313" i="5"/>
  <c r="G3312" i="5"/>
  <c r="G3311" i="5"/>
  <c r="G3310" i="5"/>
  <c r="G3309" i="5"/>
  <c r="G3308" i="5"/>
  <c r="G3307" i="5"/>
  <c r="G3306" i="5"/>
  <c r="G3305" i="5"/>
  <c r="G3304" i="5"/>
  <c r="G3303" i="5"/>
  <c r="G3302" i="5"/>
  <c r="G3301" i="5"/>
  <c r="G3300" i="5"/>
  <c r="G3299" i="5"/>
  <c r="G3298" i="5"/>
  <c r="G3297" i="5"/>
  <c r="G3296" i="5"/>
  <c r="G3295" i="5"/>
  <c r="G3294" i="5"/>
  <c r="G3293" i="5"/>
  <c r="G3292" i="5"/>
  <c r="G3291" i="5"/>
  <c r="G3290" i="5"/>
  <c r="G3289" i="5"/>
  <c r="G3288" i="5"/>
  <c r="G3287" i="5"/>
  <c r="G3286" i="5"/>
  <c r="G3285" i="5"/>
  <c r="G3284" i="5"/>
  <c r="G3283" i="5"/>
  <c r="G3282" i="5"/>
  <c r="G3281" i="5"/>
  <c r="G3280" i="5"/>
  <c r="G3279" i="5"/>
  <c r="G3278" i="5"/>
  <c r="G3276" i="5"/>
  <c r="G3275" i="5"/>
  <c r="G3274" i="5"/>
  <c r="G3273" i="5"/>
  <c r="G3272" i="5"/>
  <c r="G3271" i="5"/>
  <c r="G3270" i="5"/>
  <c r="G3269" i="5"/>
  <c r="G3268" i="5"/>
  <c r="G3267" i="5"/>
  <c r="G3266" i="5"/>
  <c r="G3265" i="5"/>
  <c r="G3264" i="5"/>
  <c r="G3263" i="5"/>
  <c r="G3262" i="5"/>
  <c r="G3261" i="5"/>
  <c r="G3260" i="5"/>
  <c r="G3259" i="5"/>
  <c r="G3256" i="5"/>
  <c r="G3255" i="5"/>
  <c r="G3254" i="5"/>
  <c r="G3253" i="5"/>
  <c r="G3251" i="5"/>
  <c r="G3249" i="5"/>
  <c r="G3248" i="5"/>
  <c r="G3247" i="5"/>
  <c r="G3246" i="5"/>
  <c r="G3244" i="5"/>
  <c r="G3243" i="5"/>
  <c r="G3242" i="5"/>
  <c r="G3241" i="5"/>
  <c r="G3240" i="5"/>
  <c r="G3238" i="5"/>
  <c r="G3237" i="5"/>
  <c r="G3236" i="5"/>
  <c r="G3235" i="5"/>
  <c r="G3234" i="5"/>
  <c r="G3233" i="5"/>
  <c r="G3232" i="5"/>
  <c r="G3231" i="5"/>
  <c r="G3230" i="5"/>
  <c r="G3226" i="5"/>
  <c r="G3224" i="5"/>
  <c r="G3223" i="5"/>
  <c r="G3221" i="5"/>
  <c r="G3219" i="5"/>
  <c r="G3217" i="5"/>
  <c r="G3215" i="5"/>
  <c r="G3214" i="5"/>
  <c r="G3212" i="5"/>
  <c r="G3211" i="5"/>
  <c r="G3210" i="5"/>
  <c r="G3209" i="5"/>
  <c r="G3208" i="5"/>
  <c r="G3207" i="5"/>
  <c r="G3206" i="5"/>
  <c r="G3205" i="5"/>
  <c r="G3204" i="5"/>
  <c r="G3202" i="5"/>
  <c r="G3201" i="5"/>
  <c r="G3199" i="5"/>
  <c r="G3198" i="5"/>
  <c r="G3197" i="5"/>
  <c r="G3196" i="5"/>
  <c r="G3195" i="5"/>
  <c r="G3194" i="5"/>
  <c r="G3193" i="5"/>
  <c r="G3190" i="5"/>
  <c r="G3189" i="5"/>
  <c r="G3188" i="5"/>
  <c r="G3187" i="5"/>
  <c r="G3186" i="5"/>
  <c r="G3185" i="5"/>
  <c r="G3184" i="5"/>
  <c r="G3183" i="5"/>
  <c r="G3182" i="5"/>
  <c r="G3180" i="5"/>
  <c r="G3179" i="5"/>
  <c r="G3178" i="5"/>
  <c r="G3177" i="5"/>
  <c r="G3176" i="5"/>
  <c r="G3175" i="5"/>
  <c r="G3174" i="5"/>
  <c r="G3173" i="5"/>
  <c r="G3172" i="5"/>
  <c r="G3171" i="5"/>
  <c r="G3169" i="5"/>
  <c r="G3168" i="5"/>
  <c r="G3167" i="5"/>
  <c r="G3166" i="5"/>
  <c r="G3165" i="5"/>
  <c r="G3164" i="5"/>
  <c r="G3163" i="5"/>
  <c r="G3162" i="5"/>
  <c r="G3161" i="5"/>
  <c r="G3160" i="5"/>
  <c r="G3159" i="5"/>
  <c r="G3158" i="5"/>
  <c r="G3157" i="5"/>
  <c r="G3156" i="5"/>
  <c r="G3155" i="5"/>
  <c r="G3154" i="5"/>
  <c r="G3153" i="5"/>
  <c r="G3152" i="5"/>
  <c r="G3151" i="5"/>
  <c r="G3150" i="5"/>
  <c r="G3149" i="5"/>
  <c r="G3148" i="5"/>
  <c r="G3147" i="5"/>
  <c r="G3146" i="5"/>
  <c r="G3145" i="5"/>
  <c r="G3144" i="5"/>
  <c r="G3143" i="5"/>
  <c r="G3142" i="5"/>
  <c r="G3141" i="5"/>
  <c r="G3140" i="5"/>
  <c r="G3139" i="5"/>
  <c r="G3138" i="5"/>
  <c r="G3137" i="5"/>
  <c r="G3133" i="5"/>
  <c r="G3132" i="5"/>
  <c r="G3131" i="5"/>
  <c r="G3130" i="5"/>
  <c r="G3129" i="5"/>
  <c r="G3128" i="5"/>
  <c r="G3126" i="5"/>
  <c r="G3125" i="5"/>
  <c r="G3124" i="5"/>
  <c r="G3123" i="5"/>
  <c r="G3122" i="5"/>
  <c r="G3121" i="5"/>
  <c r="G3120" i="5"/>
  <c r="G3119" i="5"/>
  <c r="G3118" i="5"/>
  <c r="G3117" i="5"/>
  <c r="G3116" i="5"/>
  <c r="G3115" i="5"/>
  <c r="G3114" i="5"/>
  <c r="G3113" i="5"/>
  <c r="G3112" i="5"/>
  <c r="G3111" i="5"/>
  <c r="G3110" i="5"/>
  <c r="G3109" i="5"/>
  <c r="G3108" i="5"/>
  <c r="G3107" i="5"/>
  <c r="G3106" i="5"/>
  <c r="G3105" i="5"/>
  <c r="G3104" i="5"/>
  <c r="G3103" i="5"/>
  <c r="G3102" i="5"/>
  <c r="G3101" i="5"/>
  <c r="G3100" i="5"/>
  <c r="G3099" i="5"/>
  <c r="G3098" i="5"/>
  <c r="G3097" i="5"/>
  <c r="G3096" i="5"/>
  <c r="G3094" i="5"/>
  <c r="G3093" i="5"/>
  <c r="G3092" i="5"/>
  <c r="G3091" i="5"/>
  <c r="G3090" i="5"/>
  <c r="G3089" i="5"/>
  <c r="G3088" i="5"/>
  <c r="G3087" i="5"/>
  <c r="G3086" i="5"/>
  <c r="G3085" i="5"/>
  <c r="G3084" i="5"/>
  <c r="G3083" i="5"/>
  <c r="G3082" i="5"/>
  <c r="G3081" i="5"/>
  <c r="G3080" i="5"/>
  <c r="G3079" i="5"/>
  <c r="G3078" i="5"/>
  <c r="G3077" i="5"/>
  <c r="G3076" i="5"/>
  <c r="G3075" i="5"/>
  <c r="G3074" i="5"/>
  <c r="G3073" i="5"/>
  <c r="G3072" i="5"/>
  <c r="G3071" i="5"/>
  <c r="G3070" i="5"/>
  <c r="G3069" i="5"/>
  <c r="G3068" i="5"/>
  <c r="G3067" i="5"/>
  <c r="G3066" i="5"/>
  <c r="G3065" i="5"/>
  <c r="G3064" i="5"/>
  <c r="G3063" i="5"/>
  <c r="G3062" i="5"/>
  <c r="G3061" i="5"/>
  <c r="G3060" i="5"/>
  <c r="G3059" i="5"/>
  <c r="G3058" i="5"/>
  <c r="G3057" i="5"/>
  <c r="G3055" i="5"/>
  <c r="G3054" i="5"/>
  <c r="G3053" i="5"/>
  <c r="G3052" i="5"/>
  <c r="G3050" i="5"/>
  <c r="G3049" i="5"/>
  <c r="G3048" i="5"/>
  <c r="G3047" i="5"/>
  <c r="G3046" i="5"/>
  <c r="G3045" i="5"/>
  <c r="G3044" i="5"/>
  <c r="G3043" i="5"/>
  <c r="G3042" i="5"/>
  <c r="G3041" i="5"/>
  <c r="G3040" i="5"/>
  <c r="G3039" i="5"/>
  <c r="G3038" i="5"/>
  <c r="G3037" i="5"/>
  <c r="G3036" i="5"/>
  <c r="G3035" i="5"/>
  <c r="G3034" i="5"/>
  <c r="G3033" i="5"/>
  <c r="G3032" i="5"/>
  <c r="G3031" i="5"/>
  <c r="G3030" i="5"/>
  <c r="G3029" i="5"/>
  <c r="G3028" i="5"/>
  <c r="G3027" i="5"/>
  <c r="G3026" i="5"/>
  <c r="G3025" i="5"/>
  <c r="G3024" i="5"/>
  <c r="G3023" i="5"/>
  <c r="G3020" i="5"/>
  <c r="G3019" i="5"/>
  <c r="G3017" i="5"/>
  <c r="G3016" i="5"/>
  <c r="G3015" i="5"/>
  <c r="G3013" i="5"/>
  <c r="G3012" i="5"/>
  <c r="G3011" i="5"/>
  <c r="G3009" i="5"/>
  <c r="G3008" i="5"/>
  <c r="G3007" i="5"/>
  <c r="G3006" i="5"/>
  <c r="G3005" i="5"/>
  <c r="G3003" i="5"/>
  <c r="G3002" i="5"/>
  <c r="G3001" i="5"/>
  <c r="G3000" i="5"/>
  <c r="G2998" i="5"/>
  <c r="G2997" i="5"/>
  <c r="G2996" i="5"/>
  <c r="G2994" i="5"/>
  <c r="G2993" i="5"/>
  <c r="G2992" i="5"/>
  <c r="G2990" i="5"/>
  <c r="G2989" i="5"/>
  <c r="G2988" i="5"/>
  <c r="G2987" i="5"/>
  <c r="G2986" i="5"/>
  <c r="G2984" i="5"/>
  <c r="G2982" i="5"/>
  <c r="G2981" i="5"/>
  <c r="G2980" i="5"/>
  <c r="G2979" i="5"/>
  <c r="G2977" i="5"/>
  <c r="G2976" i="5"/>
  <c r="G2975" i="5"/>
  <c r="G2974" i="5"/>
  <c r="G2973" i="5"/>
  <c r="G2971" i="5"/>
  <c r="G2970" i="5"/>
  <c r="G2968" i="5"/>
  <c r="G2966" i="5"/>
  <c r="G2965" i="5"/>
  <c r="G2964" i="5"/>
  <c r="G2963" i="5"/>
  <c r="G2961" i="5"/>
  <c r="G2960" i="5"/>
  <c r="G2958" i="5"/>
  <c r="G2957" i="5"/>
  <c r="G2956" i="5"/>
  <c r="G2955" i="5"/>
  <c r="G2954" i="5"/>
  <c r="G2953" i="5"/>
  <c r="G2952" i="5"/>
  <c r="G2950" i="5"/>
  <c r="G2949" i="5"/>
  <c r="G2948" i="5"/>
  <c r="G2947" i="5"/>
  <c r="G2945" i="5"/>
  <c r="G2944" i="5"/>
  <c r="G2942" i="5"/>
  <c r="G2941" i="5"/>
  <c r="G2940" i="5"/>
  <c r="G2938" i="5"/>
  <c r="G2937" i="5"/>
  <c r="G2936" i="5"/>
  <c r="G2935" i="5"/>
  <c r="G2934" i="5"/>
  <c r="G2933" i="5"/>
  <c r="G2932" i="5"/>
  <c r="G2931" i="5"/>
  <c r="G2930" i="5"/>
  <c r="G2928" i="5"/>
  <c r="G2927" i="5"/>
  <c r="G2926" i="5"/>
  <c r="G2924" i="5"/>
  <c r="G2923" i="5"/>
  <c r="G2922" i="5"/>
  <c r="G2921" i="5"/>
  <c r="G2920" i="5"/>
  <c r="G2917" i="5"/>
  <c r="G2915" i="5"/>
  <c r="G2913" i="5"/>
  <c r="G2911" i="5"/>
  <c r="G2910" i="5"/>
  <c r="G2909" i="5"/>
  <c r="G2908" i="5"/>
  <c r="G2906" i="5"/>
  <c r="G2905" i="5"/>
  <c r="G2904" i="5"/>
  <c r="G2903" i="5"/>
  <c r="G2902" i="5"/>
  <c r="G2901" i="5"/>
  <c r="G2900" i="5"/>
  <c r="G2899" i="5"/>
  <c r="G2897" i="5"/>
  <c r="G2896" i="5"/>
  <c r="G2895" i="5"/>
  <c r="G2893" i="5"/>
  <c r="G2892" i="5"/>
  <c r="G2891" i="5"/>
  <c r="G2890" i="5"/>
  <c r="G2888" i="5"/>
  <c r="G2886" i="5"/>
  <c r="G2884" i="5"/>
  <c r="G2882" i="5"/>
  <c r="G2880" i="5"/>
  <c r="G2879" i="5"/>
  <c r="G2878" i="5"/>
  <c r="G2877" i="5"/>
  <c r="G2875" i="5"/>
  <c r="G2874" i="5"/>
  <c r="G2873" i="5"/>
  <c r="G2872" i="5"/>
  <c r="G2871" i="5"/>
  <c r="G2870" i="5"/>
  <c r="G2869" i="5"/>
  <c r="G2868" i="5"/>
  <c r="G2867" i="5"/>
  <c r="G2866" i="5"/>
  <c r="G2864" i="5"/>
  <c r="G2863" i="5"/>
  <c r="G2862" i="5"/>
  <c r="G2861" i="5"/>
  <c r="G2859" i="5"/>
  <c r="G2858" i="5"/>
  <c r="G2857" i="5"/>
  <c r="G2856" i="5"/>
  <c r="G2855" i="5"/>
  <c r="G2854" i="5"/>
  <c r="G2852" i="5"/>
  <c r="G2851" i="5"/>
  <c r="G2850" i="5"/>
  <c r="G2849" i="5"/>
  <c r="G2848" i="5"/>
  <c r="G2845" i="5"/>
  <c r="G2844" i="5"/>
  <c r="G2843" i="5"/>
  <c r="G2842" i="5"/>
  <c r="G2841" i="5"/>
  <c r="G2840" i="5"/>
  <c r="G2839" i="5"/>
  <c r="G2838" i="5"/>
  <c r="G2836" i="5"/>
  <c r="G2835" i="5"/>
  <c r="G2834" i="5"/>
  <c r="G2833" i="5"/>
  <c r="G2831" i="5"/>
  <c r="G2828" i="5"/>
  <c r="G2827" i="5"/>
  <c r="G2825" i="5"/>
  <c r="G2824" i="5"/>
  <c r="G2823" i="5"/>
  <c r="G2822" i="5"/>
  <c r="G2821" i="5"/>
  <c r="G2819" i="5"/>
  <c r="G2818" i="5"/>
  <c r="G2817" i="5"/>
  <c r="G2816" i="5"/>
  <c r="G2815" i="5"/>
  <c r="G2814" i="5"/>
  <c r="G2813" i="5"/>
  <c r="G2812" i="5"/>
  <c r="G2811" i="5"/>
  <c r="G2810" i="5"/>
  <c r="G2808" i="5"/>
  <c r="G2807" i="5"/>
  <c r="G2805" i="5"/>
  <c r="G2804" i="5"/>
  <c r="G2803" i="5"/>
  <c r="G2802" i="5"/>
  <c r="G2800" i="5"/>
  <c r="G2799" i="5"/>
  <c r="G2797" i="5"/>
  <c r="G2796" i="5"/>
  <c r="G2795" i="5"/>
  <c r="G2793" i="5"/>
  <c r="G2792" i="5"/>
  <c r="G2791" i="5"/>
  <c r="G2790" i="5"/>
  <c r="G2789" i="5"/>
  <c r="G2788" i="5"/>
  <c r="G2787" i="5"/>
  <c r="G2786" i="5"/>
  <c r="G2785" i="5"/>
  <c r="G2783" i="5"/>
  <c r="G2782" i="5"/>
  <c r="G2781" i="5"/>
  <c r="G2780" i="5"/>
  <c r="G2779" i="5"/>
  <c r="G2778" i="5"/>
  <c r="G2776" i="5"/>
  <c r="G2775" i="5"/>
  <c r="G2773" i="5"/>
  <c r="G2772" i="5"/>
  <c r="G2771" i="5"/>
  <c r="G2770" i="5"/>
  <c r="G2769" i="5"/>
  <c r="G2768" i="5"/>
  <c r="G2767" i="5"/>
  <c r="G2766" i="5"/>
  <c r="G2765" i="5"/>
  <c r="G2763" i="5"/>
  <c r="G2762" i="5"/>
  <c r="G2761" i="5"/>
  <c r="G2760" i="5"/>
  <c r="G2759" i="5"/>
  <c r="G2758" i="5"/>
  <c r="G2757" i="5"/>
  <c r="G2756" i="5"/>
  <c r="G2755" i="5"/>
  <c r="G2754" i="5"/>
  <c r="G2753" i="5"/>
  <c r="G2752" i="5"/>
  <c r="G2751" i="5"/>
  <c r="G2750" i="5"/>
  <c r="G2749" i="5"/>
  <c r="G2748" i="5"/>
  <c r="G2747" i="5"/>
  <c r="G2746" i="5"/>
  <c r="G2745" i="5"/>
  <c r="G2744" i="5"/>
  <c r="G2743" i="5"/>
  <c r="G2742" i="5"/>
  <c r="G2741" i="5"/>
  <c r="G2740" i="5"/>
  <c r="G2739" i="5"/>
  <c r="G2738" i="5"/>
  <c r="G2737" i="5"/>
  <c r="G2736" i="5"/>
  <c r="G2735" i="5"/>
  <c r="G2733" i="5"/>
  <c r="G2732" i="5"/>
  <c r="G2731" i="5"/>
  <c r="G2730" i="5"/>
  <c r="G2729" i="5"/>
  <c r="G2728" i="5"/>
  <c r="G2727" i="5"/>
  <c r="G2726" i="5"/>
  <c r="G2725" i="5"/>
  <c r="G2724" i="5"/>
  <c r="G2723" i="5"/>
  <c r="G2722" i="5"/>
  <c r="G2721" i="5"/>
  <c r="G2719" i="5"/>
  <c r="G2718" i="5"/>
  <c r="G2717" i="5"/>
  <c r="G2716" i="5"/>
  <c r="G2715" i="5"/>
  <c r="G2714" i="5"/>
  <c r="G2713" i="5"/>
  <c r="G2712" i="5"/>
  <c r="G2711" i="5"/>
  <c r="G2710" i="5"/>
  <c r="G2709" i="5"/>
  <c r="G2708" i="5"/>
  <c r="G2707" i="5"/>
  <c r="G2706" i="5"/>
  <c r="G2705" i="5"/>
  <c r="G2704" i="5"/>
  <c r="G2703" i="5"/>
  <c r="G2702" i="5"/>
  <c r="G2701" i="5"/>
  <c r="G2700" i="5"/>
  <c r="G2699" i="5"/>
  <c r="G2697" i="5"/>
  <c r="G2696" i="5"/>
  <c r="G2695" i="5"/>
  <c r="G2694" i="5"/>
  <c r="G2693" i="5"/>
  <c r="G2692" i="5"/>
  <c r="G2691" i="5"/>
  <c r="G2690" i="5"/>
  <c r="G2689" i="5"/>
  <c r="G2688" i="5"/>
  <c r="G2687" i="5"/>
  <c r="G2686" i="5"/>
  <c r="G2685" i="5"/>
  <c r="G2684" i="5"/>
  <c r="G2683" i="5"/>
  <c r="G2682" i="5"/>
  <c r="G2681" i="5"/>
  <c r="G2680" i="5"/>
  <c r="G2678" i="5"/>
  <c r="G2677" i="5"/>
  <c r="G2675" i="5"/>
  <c r="G2674" i="5"/>
  <c r="G2673" i="5"/>
  <c r="G2672" i="5"/>
  <c r="G2671" i="5"/>
  <c r="G2670" i="5"/>
  <c r="G2669" i="5"/>
  <c r="G2668" i="5"/>
  <c r="G2667" i="5"/>
  <c r="G2665" i="5"/>
  <c r="G2664" i="5"/>
  <c r="G2663" i="5"/>
  <c r="G2662" i="5"/>
  <c r="G2661" i="5"/>
  <c r="G2660" i="5"/>
  <c r="G2658" i="5"/>
  <c r="G2657" i="5"/>
  <c r="G2656" i="5"/>
  <c r="G2655" i="5"/>
  <c r="G2654" i="5"/>
  <c r="G2653" i="5"/>
  <c r="G2651" i="5"/>
  <c r="G2650" i="5"/>
  <c r="G2649" i="5"/>
  <c r="G2648" i="5"/>
  <c r="G2647" i="5"/>
  <c r="G2646" i="5"/>
  <c r="G2644" i="5"/>
  <c r="G2643" i="5"/>
  <c r="G2642" i="5"/>
  <c r="G2641" i="5"/>
  <c r="G2640" i="5"/>
  <c r="G2639" i="5"/>
  <c r="G2637" i="5"/>
  <c r="G2636" i="5"/>
  <c r="G2635" i="5"/>
  <c r="G2634" i="5"/>
  <c r="G2633" i="5"/>
  <c r="G2632" i="5"/>
  <c r="G2631" i="5"/>
  <c r="G2630" i="5"/>
  <c r="G2629" i="5"/>
  <c r="G2628" i="5"/>
  <c r="G2627" i="5"/>
  <c r="G2626" i="5"/>
  <c r="G2625" i="5"/>
  <c r="G2624" i="5"/>
  <c r="G2623" i="5"/>
  <c r="G2622" i="5"/>
  <c r="G2621" i="5"/>
  <c r="G2620" i="5"/>
  <c r="G2619" i="5"/>
  <c r="G2618" i="5"/>
  <c r="G2616" i="5"/>
  <c r="G2615" i="5"/>
  <c r="G2614" i="5"/>
  <c r="G2613" i="5"/>
  <c r="G2612" i="5"/>
  <c r="G2611" i="5"/>
  <c r="G2610" i="5"/>
  <c r="G2609" i="5"/>
  <c r="G2607" i="5"/>
  <c r="G2606" i="5"/>
  <c r="G2604" i="5"/>
  <c r="G2603" i="5"/>
  <c r="G2602" i="5"/>
  <c r="G2600" i="5"/>
  <c r="G2599" i="5"/>
  <c r="G2598" i="5"/>
  <c r="G2597" i="5"/>
  <c r="G2596" i="5"/>
  <c r="G2595" i="5"/>
  <c r="G2594" i="5"/>
  <c r="G2592" i="5"/>
  <c r="G2591" i="5"/>
  <c r="G2590" i="5"/>
  <c r="G2589" i="5"/>
  <c r="G2588" i="5"/>
  <c r="G2587" i="5"/>
  <c r="G2586" i="5"/>
  <c r="G2585" i="5"/>
  <c r="G2584" i="5"/>
  <c r="G2583" i="5"/>
  <c r="G2582" i="5"/>
  <c r="G2580" i="5"/>
  <c r="G2579" i="5"/>
  <c r="G2578" i="5"/>
  <c r="G2576" i="5"/>
  <c r="G2575" i="5"/>
  <c r="G2574" i="5"/>
  <c r="G2573" i="5"/>
  <c r="G2572" i="5"/>
  <c r="G2571" i="5"/>
  <c r="G2570" i="5"/>
  <c r="G2569" i="5"/>
  <c r="G2568" i="5"/>
  <c r="G2567" i="5"/>
  <c r="G2566" i="5"/>
  <c r="G2564" i="5"/>
  <c r="G2563" i="5"/>
  <c r="G2562" i="5"/>
  <c r="G2561" i="5"/>
  <c r="G2560" i="5"/>
  <c r="G2559" i="5"/>
  <c r="G2558" i="5"/>
  <c r="G2557" i="5"/>
  <c r="G2555" i="5"/>
  <c r="G2554" i="5"/>
  <c r="G2553" i="5"/>
  <c r="G2552" i="5"/>
  <c r="G2551" i="5"/>
  <c r="G2550" i="5"/>
  <c r="G2549" i="5"/>
  <c r="G2548" i="5"/>
  <c r="G2547" i="5"/>
  <c r="G2546" i="5"/>
  <c r="G2545" i="5"/>
  <c r="G2544" i="5"/>
  <c r="G2542" i="5"/>
  <c r="G2541" i="5"/>
  <c r="G2540" i="5"/>
  <c r="G2539" i="5"/>
  <c r="G2537" i="5"/>
  <c r="G2536" i="5"/>
  <c r="G2535" i="5"/>
  <c r="G2534" i="5"/>
  <c r="G2533" i="5"/>
  <c r="G2531" i="5"/>
  <c r="G2530" i="5"/>
  <c r="G2529" i="5"/>
  <c r="G2528" i="5"/>
  <c r="G2527" i="5"/>
  <c r="G2526" i="5"/>
  <c r="G2525" i="5"/>
  <c r="G2523" i="5"/>
  <c r="G2522" i="5"/>
  <c r="G2521" i="5"/>
  <c r="G2520" i="5"/>
  <c r="G2519" i="5"/>
  <c r="G2518" i="5"/>
  <c r="G2516" i="5"/>
  <c r="G2515" i="5"/>
  <c r="G2514" i="5"/>
  <c r="G2513" i="5"/>
  <c r="G2512" i="5"/>
  <c r="G2511" i="5"/>
  <c r="G2510" i="5"/>
  <c r="G2509" i="5"/>
  <c r="G2507" i="5"/>
  <c r="G2506" i="5"/>
  <c r="G2505" i="5"/>
  <c r="G2504" i="5"/>
  <c r="G2503" i="5"/>
  <c r="G2502" i="5"/>
  <c r="G2501" i="5"/>
  <c r="G2500" i="5"/>
  <c r="G2499" i="5"/>
  <c r="G2497" i="5"/>
  <c r="G2496" i="5"/>
  <c r="G2494" i="5"/>
  <c r="G2493" i="5"/>
  <c r="G2492" i="5"/>
  <c r="G2490" i="5"/>
  <c r="G2489" i="5"/>
  <c r="G2487" i="5"/>
  <c r="G2486" i="5"/>
  <c r="G2484" i="5"/>
  <c r="G2483" i="5"/>
  <c r="G2482" i="5"/>
  <c r="G2480" i="5"/>
  <c r="G2479" i="5"/>
  <c r="G2478" i="5"/>
  <c r="G2477" i="5"/>
  <c r="G2476" i="5"/>
  <c r="G2475" i="5"/>
  <c r="G2473" i="5"/>
  <c r="G2472" i="5"/>
  <c r="G2471" i="5"/>
  <c r="G2470" i="5"/>
  <c r="G2469" i="5"/>
  <c r="G2468" i="5"/>
  <c r="G2466" i="5"/>
  <c r="G2465" i="5"/>
  <c r="G2464" i="5"/>
  <c r="G2463" i="5"/>
  <c r="G2462" i="5"/>
  <c r="G2461" i="5"/>
  <c r="G2459" i="5"/>
  <c r="G2458" i="5"/>
  <c r="G2456" i="5"/>
  <c r="G2455" i="5"/>
  <c r="G2454" i="5"/>
  <c r="G2453" i="5"/>
  <c r="G2451" i="5"/>
  <c r="G2450" i="5"/>
  <c r="G2449" i="5"/>
  <c r="G2448" i="5"/>
  <c r="G2447" i="5"/>
  <c r="G2446" i="5"/>
  <c r="G2445" i="5"/>
  <c r="G2444" i="5"/>
  <c r="G2443" i="5"/>
  <c r="G2441" i="5"/>
  <c r="G2440" i="5"/>
  <c r="G2439" i="5"/>
  <c r="G2437" i="5"/>
  <c r="G2436" i="5"/>
  <c r="G2434" i="5"/>
  <c r="G2433" i="5"/>
  <c r="G2432" i="5"/>
  <c r="G2431" i="5"/>
  <c r="G2430" i="5"/>
  <c r="G2429" i="5"/>
  <c r="G2428" i="5"/>
  <c r="G2427" i="5"/>
  <c r="G2426" i="5"/>
  <c r="G2425" i="5"/>
  <c r="G2424" i="5"/>
  <c r="G2423" i="5"/>
  <c r="G2422" i="5"/>
  <c r="G2420" i="5"/>
  <c r="G2419" i="5"/>
  <c r="G2418" i="5"/>
  <c r="G2417" i="5"/>
  <c r="G2416" i="5"/>
  <c r="G2415" i="5"/>
  <c r="G2414" i="5"/>
  <c r="G2413" i="5"/>
  <c r="G2412" i="5"/>
  <c r="G2411" i="5"/>
  <c r="G2409" i="5"/>
  <c r="G2408" i="5"/>
  <c r="G2407" i="5"/>
  <c r="G2406" i="5"/>
  <c r="G2405" i="5"/>
  <c r="G2404" i="5"/>
  <c r="G2403" i="5"/>
  <c r="G2402" i="5"/>
  <c r="G2400" i="5"/>
  <c r="G2399" i="5"/>
  <c r="G2398" i="5"/>
  <c r="G2397" i="5"/>
  <c r="G2396" i="5"/>
  <c r="G2394" i="5"/>
  <c r="G2393" i="5"/>
  <c r="G2391" i="5"/>
  <c r="G2390" i="5"/>
  <c r="G2388" i="5"/>
  <c r="G2387" i="5"/>
  <c r="G2385" i="5"/>
  <c r="G2384" i="5"/>
  <c r="G2383" i="5"/>
  <c r="G2382" i="5"/>
  <c r="G2380" i="5"/>
  <c r="G2379" i="5"/>
  <c r="G2378" i="5"/>
  <c r="G2377" i="5"/>
  <c r="G2376" i="5"/>
  <c r="G2375" i="5"/>
  <c r="G2374" i="5"/>
  <c r="G2373" i="5"/>
  <c r="G2371" i="5"/>
  <c r="G2370" i="5"/>
  <c r="G2369" i="5"/>
  <c r="G2368" i="5"/>
  <c r="G2367" i="5"/>
  <c r="G2366" i="5"/>
  <c r="G2364" i="5"/>
  <c r="G2363" i="5"/>
  <c r="G2362" i="5"/>
  <c r="G2361" i="5"/>
  <c r="G2360" i="5"/>
  <c r="G2358" i="5"/>
  <c r="G2356" i="5"/>
  <c r="G2352" i="5"/>
  <c r="G2351" i="5"/>
  <c r="G2350" i="5"/>
  <c r="G2349" i="5"/>
  <c r="G2348" i="5"/>
  <c r="G2347" i="5"/>
  <c r="G2346" i="5"/>
  <c r="G2345" i="5"/>
  <c r="G2344" i="5"/>
  <c r="G2343" i="5"/>
  <c r="G2342" i="5"/>
  <c r="G2341" i="5"/>
  <c r="G2340" i="5"/>
  <c r="G2339" i="5"/>
  <c r="G2338" i="5"/>
  <c r="G2337" i="5"/>
  <c r="G2335" i="5"/>
  <c r="G2334" i="5"/>
  <c r="G2333" i="5"/>
  <c r="G2332" i="5"/>
  <c r="G2330" i="5"/>
  <c r="G2329" i="5"/>
  <c r="G2328" i="5"/>
  <c r="G2327" i="5"/>
  <c r="G2326" i="5"/>
  <c r="G2325" i="5"/>
  <c r="G2324" i="5"/>
  <c r="G2323" i="5"/>
  <c r="G2322" i="5"/>
  <c r="G2321" i="5"/>
  <c r="G2320" i="5"/>
  <c r="G2319" i="5"/>
  <c r="G2318" i="5"/>
  <c r="G2316" i="5"/>
  <c r="G2315" i="5"/>
  <c r="G2314" i="5"/>
  <c r="G2312" i="5"/>
  <c r="G2311" i="5"/>
  <c r="G2310" i="5"/>
  <c r="G2308" i="5"/>
  <c r="G2307" i="5"/>
  <c r="G2306" i="5"/>
  <c r="G2305" i="5"/>
  <c r="G2304" i="5"/>
  <c r="G2303" i="5"/>
  <c r="G2301" i="5"/>
  <c r="G2300" i="5"/>
  <c r="G2299" i="5"/>
  <c r="G2298" i="5"/>
  <c r="G2297" i="5"/>
  <c r="G2296" i="5"/>
  <c r="G2295" i="5"/>
  <c r="G2294" i="5"/>
  <c r="G2293" i="5"/>
  <c r="G2292" i="5"/>
  <c r="G2291" i="5"/>
  <c r="G2290" i="5"/>
  <c r="G2288" i="5"/>
  <c r="G2287" i="5"/>
  <c r="G2286" i="5"/>
  <c r="G2285" i="5"/>
  <c r="G2284" i="5"/>
  <c r="G2283" i="5"/>
  <c r="G2282" i="5"/>
  <c r="G2281" i="5"/>
  <c r="G2280" i="5"/>
  <c r="G2279" i="5"/>
  <c r="G2278" i="5"/>
  <c r="G2277" i="5"/>
  <c r="G2275" i="5"/>
  <c r="G2274" i="5"/>
  <c r="G2273" i="5"/>
  <c r="G2272" i="5"/>
  <c r="G2271" i="5"/>
  <c r="G2270" i="5"/>
  <c r="G2268" i="5"/>
  <c r="G2267" i="5"/>
  <c r="G2266" i="5"/>
  <c r="G2265" i="5"/>
  <c r="G2263" i="5"/>
  <c r="G2262" i="5"/>
  <c r="G2261" i="5"/>
  <c r="G2260" i="5"/>
  <c r="G2259" i="5"/>
  <c r="G2258" i="5"/>
  <c r="G2257" i="5"/>
  <c r="G2256" i="5"/>
  <c r="G2255" i="5"/>
  <c r="G2254" i="5"/>
  <c r="G2252" i="5"/>
  <c r="G2251" i="5"/>
  <c r="G2250" i="5"/>
  <c r="G2249" i="5"/>
  <c r="G2248" i="5"/>
  <c r="G2247" i="5"/>
  <c r="G2245" i="5"/>
  <c r="G2244" i="5"/>
  <c r="G2243" i="5"/>
  <c r="G2242" i="5"/>
  <c r="G2241" i="5"/>
  <c r="G2240" i="5"/>
  <c r="G2239" i="5"/>
  <c r="G2238" i="5"/>
  <c r="G2236" i="5"/>
  <c r="G2235" i="5"/>
  <c r="G2234" i="5"/>
  <c r="G2233" i="5"/>
  <c r="G2232" i="5"/>
  <c r="G2231" i="5"/>
  <c r="G2229" i="5"/>
  <c r="G2228" i="5"/>
  <c r="G2227" i="5"/>
  <c r="G2226" i="5"/>
  <c r="G2225" i="5"/>
  <c r="G2224" i="5"/>
  <c r="G2222" i="5"/>
  <c r="G2221" i="5"/>
  <c r="G2220" i="5"/>
  <c r="G2219" i="5"/>
  <c r="G2218" i="5"/>
  <c r="G2217" i="5"/>
  <c r="G2215" i="5"/>
  <c r="G2214" i="5"/>
  <c r="G2213" i="5"/>
  <c r="G2212" i="5"/>
  <c r="G2211" i="5"/>
  <c r="G2210" i="5"/>
  <c r="G2209" i="5"/>
  <c r="G2208" i="5"/>
  <c r="G2206" i="5"/>
  <c r="G2205" i="5"/>
  <c r="G2204" i="5"/>
  <c r="G2203" i="5"/>
  <c r="G2202" i="5"/>
  <c r="G2201" i="5"/>
  <c r="G2200" i="5"/>
  <c r="G2199" i="5"/>
  <c r="G2197" i="5"/>
  <c r="G2195" i="5"/>
  <c r="G2194" i="5"/>
  <c r="G2193" i="5"/>
  <c r="G2192" i="5"/>
  <c r="G2191" i="5"/>
  <c r="G2190" i="5"/>
  <c r="G2188" i="5"/>
  <c r="G2187" i="5"/>
  <c r="G2185" i="5"/>
  <c r="G2184" i="5"/>
  <c r="G2183" i="5"/>
  <c r="G2182" i="5"/>
  <c r="G2181" i="5"/>
  <c r="G2180" i="5"/>
  <c r="G2176" i="5"/>
  <c r="G2175" i="5"/>
  <c r="G2173" i="5"/>
  <c r="G2172" i="5"/>
  <c r="G2171" i="5"/>
  <c r="G2170" i="5"/>
  <c r="G2169" i="5"/>
  <c r="G2167" i="5"/>
  <c r="G2166" i="5"/>
  <c r="G2165" i="5"/>
  <c r="G2164" i="5"/>
  <c r="G2163" i="5"/>
  <c r="G2161" i="5"/>
  <c r="G2160" i="5"/>
  <c r="G2157" i="5"/>
  <c r="G2156" i="5"/>
  <c r="G2155" i="5"/>
  <c r="G2154" i="5"/>
  <c r="G2153" i="5"/>
  <c r="G2151" i="5"/>
  <c r="G2150" i="5"/>
  <c r="G2147" i="5"/>
  <c r="G2146" i="5"/>
  <c r="G2145" i="5"/>
  <c r="G2144" i="5"/>
  <c r="G2142" i="5"/>
  <c r="G2141" i="5"/>
  <c r="G2140" i="5"/>
  <c r="G2138" i="5"/>
  <c r="G2137" i="5"/>
  <c r="G2136" i="5"/>
  <c r="G2134" i="5"/>
  <c r="G2133" i="5"/>
  <c r="G2132" i="5"/>
  <c r="G2130" i="5"/>
  <c r="G2129" i="5"/>
  <c r="G2128" i="5"/>
  <c r="G2126" i="5"/>
  <c r="G2125" i="5"/>
  <c r="G2124" i="5"/>
  <c r="G2122" i="5"/>
  <c r="G2121" i="5"/>
  <c r="G2120" i="5"/>
  <c r="G2118" i="5"/>
  <c r="G2117" i="5"/>
  <c r="G2116" i="5"/>
  <c r="G2114" i="5"/>
  <c r="G2113" i="5"/>
  <c r="G2112" i="5"/>
  <c r="G2110" i="5"/>
  <c r="G2109" i="5"/>
  <c r="G2108" i="5"/>
  <c r="G2106" i="5"/>
  <c r="G2105" i="5"/>
  <c r="G2104" i="5"/>
  <c r="G2102" i="5"/>
  <c r="G2101" i="5"/>
  <c r="G2100" i="5"/>
  <c r="G2098" i="5"/>
  <c r="G2097" i="5"/>
  <c r="G2096" i="5"/>
  <c r="G2094" i="5"/>
  <c r="G2093" i="5"/>
  <c r="G2092" i="5"/>
  <c r="G2090" i="5"/>
  <c r="G2089" i="5"/>
  <c r="G2088" i="5"/>
  <c r="G2086" i="5"/>
  <c r="G2085" i="5"/>
  <c r="G2084" i="5"/>
  <c r="G2082" i="5"/>
  <c r="G2081" i="5"/>
  <c r="G2080" i="5"/>
  <c r="G2078" i="5"/>
  <c r="G2077" i="5"/>
  <c r="G2075" i="5"/>
  <c r="G2074" i="5"/>
  <c r="G2073" i="5"/>
  <c r="G2072" i="5"/>
  <c r="G2071" i="5"/>
  <c r="G2070" i="5"/>
  <c r="G2069" i="5"/>
  <c r="G2068" i="5"/>
  <c r="G2067" i="5"/>
  <c r="G2065" i="5"/>
  <c r="G2064" i="5"/>
  <c r="G2063" i="5"/>
  <c r="G2062" i="5"/>
  <c r="G2060" i="5"/>
  <c r="G2059" i="5"/>
  <c r="G2058" i="5"/>
  <c r="G2057" i="5"/>
  <c r="G2056" i="5"/>
  <c r="G2055" i="5"/>
  <c r="G2054" i="5"/>
  <c r="G2053" i="5"/>
  <c r="G2052" i="5"/>
  <c r="G2050" i="5"/>
  <c r="G2049" i="5"/>
  <c r="G2048" i="5"/>
  <c r="G2047" i="5"/>
  <c r="G2046" i="5"/>
  <c r="G2045" i="5"/>
  <c r="G2044" i="5"/>
  <c r="G2043" i="5"/>
  <c r="G2042" i="5"/>
  <c r="G2040" i="5"/>
  <c r="G2039" i="5"/>
  <c r="G2038" i="5"/>
  <c r="G2037" i="5"/>
  <c r="G2035" i="5"/>
  <c r="G2034" i="5"/>
  <c r="G2033" i="5"/>
  <c r="G2032" i="5"/>
  <c r="G2030" i="5"/>
  <c r="G2029" i="5"/>
  <c r="G2028" i="5"/>
  <c r="G2026" i="5"/>
  <c r="G2024" i="5"/>
  <c r="G2023" i="5"/>
  <c r="G2022" i="5"/>
  <c r="G2021" i="5"/>
  <c r="G2020" i="5"/>
  <c r="G2019" i="5"/>
  <c r="G2018" i="5"/>
  <c r="G2017" i="5"/>
  <c r="G2016" i="5"/>
  <c r="G2015" i="5"/>
  <c r="G2014" i="5"/>
  <c r="G2013" i="5"/>
  <c r="G2012" i="5"/>
  <c r="G2011" i="5"/>
  <c r="G2010" i="5"/>
  <c r="G2009" i="5"/>
  <c r="G2008" i="5"/>
  <c r="G2007" i="5"/>
  <c r="G2006" i="5"/>
  <c r="G2005" i="5"/>
  <c r="G2003" i="5"/>
  <c r="G2002" i="5"/>
  <c r="G2001" i="5"/>
  <c r="G2000" i="5"/>
  <c r="G1999" i="5"/>
  <c r="G1998" i="5"/>
  <c r="G1996" i="5"/>
  <c r="G1995" i="5"/>
  <c r="G1994" i="5"/>
  <c r="G1993" i="5"/>
  <c r="G1992" i="5"/>
  <c r="G1991" i="5"/>
  <c r="G1990" i="5"/>
  <c r="G1989" i="5"/>
  <c r="G1988" i="5"/>
  <c r="G1986" i="5"/>
  <c r="G1985" i="5"/>
  <c r="G1984" i="5"/>
  <c r="G1983" i="5"/>
  <c r="G1982" i="5"/>
  <c r="G1981" i="5"/>
  <c r="G1979" i="5"/>
  <c r="G1978" i="5"/>
  <c r="G1977" i="5"/>
  <c r="G1976" i="5"/>
  <c r="G1975" i="5"/>
  <c r="G1974" i="5"/>
  <c r="G1973" i="5"/>
  <c r="G1972" i="5"/>
  <c r="G1971" i="5"/>
  <c r="G1970" i="5"/>
  <c r="G1969" i="5"/>
  <c r="G1968" i="5"/>
  <c r="G1967" i="5"/>
  <c r="G1966" i="5"/>
  <c r="G1965" i="5"/>
  <c r="G1964" i="5"/>
  <c r="G1963" i="5"/>
  <c r="G1962" i="5"/>
  <c r="G1960" i="5"/>
  <c r="G1959" i="5"/>
  <c r="G1957" i="5"/>
  <c r="G1956" i="5"/>
  <c r="G1955" i="5"/>
  <c r="G1954" i="5"/>
  <c r="G1953" i="5"/>
  <c r="G1952" i="5"/>
  <c r="G1951" i="5"/>
  <c r="G1950" i="5"/>
  <c r="G1948" i="5"/>
  <c r="G1947" i="5"/>
  <c r="G1945" i="5"/>
  <c r="G1944" i="5"/>
  <c r="G1942" i="5"/>
  <c r="G1941" i="5"/>
  <c r="G1939" i="5"/>
  <c r="G1938" i="5"/>
  <c r="G1936" i="5"/>
  <c r="G1935" i="5"/>
  <c r="G1934" i="5"/>
  <c r="G1932" i="5"/>
  <c r="G1931" i="5"/>
  <c r="G1930" i="5"/>
  <c r="G1929" i="5"/>
  <c r="G1928" i="5"/>
  <c r="G1927" i="5"/>
  <c r="G1926" i="5"/>
  <c r="G1925" i="5"/>
  <c r="G1924" i="5"/>
  <c r="G1921" i="5"/>
  <c r="G1920" i="5"/>
  <c r="G1919" i="5"/>
  <c r="G1918" i="5"/>
  <c r="G1916" i="5"/>
  <c r="G1915" i="5"/>
  <c r="G1914" i="5"/>
  <c r="G1913" i="5"/>
  <c r="G1911" i="5"/>
  <c r="G1910" i="5"/>
  <c r="G1909" i="5"/>
  <c r="G1908" i="5"/>
  <c r="G1907" i="5"/>
  <c r="G1903" i="5"/>
  <c r="G1902" i="5"/>
  <c r="G1901" i="5"/>
  <c r="G1900" i="5"/>
  <c r="G1899" i="5"/>
  <c r="G1896" i="5"/>
  <c r="G1895" i="5"/>
  <c r="G1894" i="5"/>
  <c r="G1893" i="5"/>
  <c r="G1891" i="5"/>
  <c r="G1890" i="5"/>
  <c r="G1889" i="5"/>
  <c r="G1888" i="5"/>
  <c r="G1887" i="5"/>
  <c r="G1885" i="5"/>
  <c r="G1884" i="5"/>
  <c r="G1883" i="5"/>
  <c r="G1882" i="5"/>
  <c r="G1881" i="5"/>
  <c r="G1880" i="5"/>
  <c r="G1878" i="5"/>
  <c r="G1877" i="5"/>
  <c r="G1876" i="5"/>
  <c r="G1875" i="5"/>
  <c r="G1873" i="5"/>
  <c r="G1872" i="5"/>
  <c r="G1871" i="5"/>
  <c r="G1869" i="5"/>
  <c r="G1868" i="5"/>
  <c r="G1867" i="5"/>
  <c r="G1866" i="5"/>
  <c r="G1865" i="5"/>
  <c r="G1864" i="5"/>
  <c r="G1862" i="5"/>
  <c r="G1861" i="5"/>
  <c r="G1860" i="5"/>
  <c r="G1858" i="5"/>
  <c r="G1857" i="5"/>
  <c r="G1856" i="5"/>
  <c r="G1855" i="5"/>
  <c r="G1854" i="5"/>
  <c r="G1853" i="5"/>
  <c r="G1852" i="5"/>
  <c r="G1851" i="5"/>
  <c r="G1850" i="5"/>
  <c r="G1849" i="5"/>
  <c r="G1848" i="5"/>
  <c r="G1847" i="5"/>
  <c r="G1846" i="5"/>
  <c r="G1845" i="5"/>
  <c r="G1844" i="5"/>
  <c r="G1843" i="5"/>
  <c r="G1842" i="5"/>
  <c r="G1841" i="5"/>
  <c r="G1840" i="5"/>
  <c r="G1839" i="5"/>
  <c r="G1837" i="5"/>
  <c r="G1836" i="5"/>
  <c r="G1835" i="5"/>
  <c r="G1834" i="5"/>
  <c r="G1833" i="5"/>
  <c r="G1832" i="5"/>
  <c r="G1831" i="5"/>
  <c r="G1830" i="5"/>
  <c r="G1829" i="5"/>
  <c r="G1828" i="5"/>
  <c r="G1827" i="5"/>
  <c r="G1826" i="5"/>
  <c r="G1825" i="5"/>
  <c r="G1824" i="5"/>
  <c r="G1823" i="5"/>
  <c r="G1822" i="5"/>
  <c r="G1821" i="5"/>
  <c r="G1820" i="5"/>
  <c r="G1819" i="5"/>
  <c r="G1818" i="5"/>
  <c r="G1817" i="5"/>
  <c r="G1816" i="5"/>
  <c r="G1815" i="5"/>
  <c r="G1814" i="5"/>
  <c r="G1813" i="5"/>
  <c r="G1812" i="5"/>
  <c r="G1811" i="5"/>
  <c r="G1810" i="5"/>
  <c r="G1809" i="5"/>
  <c r="G1808" i="5"/>
  <c r="G1807" i="5"/>
  <c r="G1806" i="5"/>
  <c r="G1805" i="5"/>
  <c r="G1804" i="5"/>
  <c r="G1803" i="5"/>
  <c r="G1802" i="5"/>
  <c r="G1801" i="5"/>
  <c r="G1800" i="5"/>
  <c r="G1799" i="5"/>
  <c r="G1798" i="5"/>
  <c r="G1797" i="5"/>
  <c r="G1796" i="5"/>
  <c r="G1795" i="5"/>
  <c r="G1794" i="5"/>
  <c r="G1793" i="5"/>
  <c r="G1792" i="5"/>
  <c r="G1790" i="5"/>
  <c r="G1789" i="5"/>
  <c r="G1788" i="5"/>
  <c r="G1787" i="5"/>
  <c r="G1786" i="5"/>
  <c r="G1785" i="5"/>
  <c r="G1784" i="5"/>
  <c r="G1783" i="5"/>
  <c r="G1782" i="5"/>
  <c r="G1781" i="5"/>
  <c r="G1780" i="5"/>
  <c r="G1779" i="5"/>
  <c r="G1778" i="5"/>
  <c r="G1777" i="5"/>
  <c r="G1776" i="5"/>
  <c r="G1775" i="5"/>
  <c r="G1774" i="5"/>
  <c r="G1773" i="5"/>
  <c r="G1772" i="5"/>
  <c r="G1771" i="5"/>
  <c r="G1770" i="5"/>
  <c r="G1769" i="5"/>
  <c r="G1768" i="5"/>
  <c r="G1766" i="5"/>
  <c r="G1765" i="5"/>
  <c r="G1764" i="5"/>
  <c r="G1763" i="5"/>
  <c r="G1762" i="5"/>
  <c r="G1761" i="5"/>
  <c r="G1760" i="5"/>
  <c r="G1759" i="5"/>
  <c r="G1758" i="5"/>
  <c r="G1757" i="5"/>
  <c r="G1756" i="5"/>
  <c r="G1755" i="5"/>
  <c r="G1754" i="5"/>
  <c r="G1753" i="5"/>
  <c r="G1752" i="5"/>
  <c r="G1751" i="5"/>
  <c r="G1750" i="5"/>
  <c r="G1749" i="5"/>
  <c r="G1748" i="5"/>
  <c r="G1747" i="5"/>
  <c r="G1746" i="5"/>
  <c r="G1745" i="5"/>
  <c r="G1744" i="5"/>
  <c r="G1743" i="5"/>
  <c r="G1742" i="5"/>
  <c r="G1741" i="5"/>
  <c r="G1740" i="5"/>
  <c r="G1739" i="5"/>
  <c r="G1738" i="5"/>
  <c r="G1737" i="5"/>
  <c r="G1736" i="5"/>
  <c r="G1735" i="5"/>
  <c r="G1734" i="5"/>
  <c r="G1733" i="5"/>
  <c r="G1732" i="5"/>
  <c r="G1731" i="5"/>
  <c r="G1729" i="5"/>
  <c r="G1728" i="5"/>
  <c r="G1727" i="5"/>
  <c r="G1726" i="5"/>
  <c r="G1725" i="5"/>
  <c r="G1723" i="5"/>
  <c r="G1722" i="5"/>
  <c r="G1721" i="5"/>
  <c r="G1720" i="5"/>
  <c r="G1719" i="5"/>
  <c r="G1718" i="5"/>
  <c r="G1717" i="5"/>
  <c r="G1716" i="5"/>
  <c r="G1715" i="5"/>
  <c r="G1714" i="5"/>
  <c r="G1713" i="5"/>
  <c r="G1712" i="5"/>
  <c r="G1710" i="5"/>
  <c r="G1709" i="5"/>
  <c r="G1707" i="5"/>
  <c r="G1706" i="5"/>
  <c r="G1705" i="5"/>
  <c r="G1704" i="5"/>
  <c r="G1703" i="5"/>
  <c r="G1702" i="5"/>
  <c r="G1701" i="5"/>
  <c r="G1700" i="5"/>
  <c r="G1699" i="5"/>
  <c r="G1698" i="5"/>
  <c r="G1697" i="5"/>
  <c r="G1696" i="5"/>
  <c r="G1695" i="5"/>
  <c r="G1694" i="5"/>
  <c r="G1693" i="5"/>
  <c r="G1692" i="5"/>
  <c r="G1690" i="5"/>
  <c r="G1689" i="5"/>
  <c r="G1688" i="5"/>
  <c r="G1687" i="5"/>
  <c r="G1686" i="5"/>
  <c r="G1685" i="5"/>
  <c r="G1684" i="5"/>
  <c r="G1683" i="5"/>
  <c r="G1682" i="5"/>
  <c r="G1681" i="5"/>
  <c r="G1680" i="5"/>
  <c r="G1679" i="5"/>
  <c r="G1678" i="5"/>
  <c r="G1677" i="5"/>
  <c r="G1676" i="5"/>
  <c r="G1675" i="5"/>
  <c r="G1673" i="5"/>
  <c r="G1672" i="5"/>
  <c r="G1671" i="5"/>
  <c r="G1670" i="5"/>
  <c r="G1669" i="5"/>
  <c r="G1668" i="5"/>
  <c r="G1667" i="5"/>
  <c r="G1666" i="5"/>
  <c r="G1664" i="5"/>
  <c r="G1663" i="5"/>
  <c r="G1662" i="5"/>
  <c r="G1661" i="5"/>
  <c r="G1660" i="5"/>
  <c r="G1659" i="5"/>
  <c r="G1658" i="5"/>
  <c r="G1657" i="5"/>
  <c r="G1656" i="5"/>
  <c r="G1655" i="5"/>
  <c r="G1654" i="5"/>
  <c r="G1653" i="5"/>
  <c r="G1652" i="5"/>
  <c r="G1651" i="5"/>
  <c r="G1650" i="5"/>
  <c r="G1649" i="5"/>
  <c r="G1647" i="5"/>
  <c r="G1646" i="5"/>
  <c r="G1645" i="5"/>
  <c r="G1644" i="5"/>
  <c r="G1643" i="5"/>
  <c r="G1642" i="5"/>
  <c r="G1641" i="5"/>
  <c r="G1640" i="5"/>
  <c r="G1639" i="5"/>
  <c r="G1638" i="5"/>
  <c r="G1637" i="5"/>
  <c r="G1636" i="5"/>
  <c r="G1635" i="5"/>
  <c r="G1634" i="5"/>
  <c r="G1633" i="5"/>
  <c r="G1632" i="5"/>
  <c r="G1630" i="5"/>
  <c r="G1629" i="5"/>
  <c r="G1628" i="5"/>
  <c r="G1627" i="5"/>
  <c r="G1625" i="5"/>
  <c r="G1624" i="5"/>
  <c r="G1621" i="5"/>
  <c r="G1620" i="5"/>
  <c r="G1619" i="5"/>
  <c r="G1618" i="5"/>
  <c r="G1617" i="5"/>
  <c r="G1616" i="5"/>
  <c r="G1614" i="5"/>
  <c r="G1613" i="5"/>
  <c r="G1612" i="5"/>
  <c r="G1609" i="5"/>
  <c r="G1608" i="5"/>
  <c r="G1607" i="5"/>
  <c r="G1606" i="5"/>
  <c r="G1604" i="5"/>
  <c r="G1602" i="5"/>
  <c r="G1601" i="5"/>
  <c r="G1600" i="5"/>
  <c r="G1599" i="5"/>
  <c r="G1598" i="5"/>
  <c r="G1597" i="5"/>
  <c r="G1596" i="5"/>
  <c r="G1595" i="5"/>
  <c r="G1594" i="5"/>
  <c r="G1593" i="5"/>
  <c r="G1592" i="5"/>
  <c r="G1591" i="5"/>
  <c r="G1590" i="5"/>
  <c r="G1589" i="5"/>
  <c r="G1588" i="5"/>
  <c r="G1587" i="5"/>
  <c r="G1585" i="5"/>
  <c r="G1584" i="5"/>
  <c r="G1582" i="5"/>
  <c r="G1581" i="5"/>
  <c r="G1580" i="5"/>
  <c r="G1579" i="5"/>
  <c r="G1578" i="5"/>
  <c r="G1577" i="5"/>
  <c r="G1576" i="5"/>
  <c r="G1575" i="5"/>
  <c r="G1574" i="5"/>
  <c r="G1573" i="5"/>
  <c r="G1572" i="5"/>
  <c r="G1571" i="5"/>
  <c r="G1569" i="5"/>
  <c r="G1567" i="5"/>
  <c r="G1566" i="5"/>
  <c r="G1565" i="5"/>
  <c r="G1564" i="5"/>
  <c r="G1563" i="5"/>
  <c r="G1562" i="5"/>
  <c r="G1561" i="5"/>
  <c r="G1560" i="5"/>
  <c r="G1559" i="5"/>
  <c r="G1558" i="5"/>
  <c r="G1557" i="5"/>
  <c r="G1556" i="5"/>
  <c r="G1555" i="5"/>
  <c r="G1554" i="5"/>
  <c r="G1553" i="5"/>
  <c r="G1552" i="5"/>
  <c r="G1551" i="5"/>
  <c r="G1550" i="5"/>
  <c r="G1549" i="5"/>
  <c r="G1548" i="5"/>
  <c r="G1547" i="5"/>
  <c r="G1546" i="5"/>
  <c r="G1545" i="5"/>
  <c r="G1544" i="5"/>
  <c r="G1542" i="5"/>
  <c r="G1541" i="5"/>
  <c r="G1539" i="5"/>
  <c r="G1538" i="5"/>
  <c r="G1537" i="5"/>
  <c r="G1536" i="5"/>
  <c r="G1535" i="5"/>
  <c r="G1534" i="5"/>
  <c r="G1533" i="5"/>
  <c r="G1532" i="5"/>
  <c r="G1531" i="5"/>
  <c r="G1530" i="5"/>
  <c r="G1529" i="5"/>
  <c r="G1528" i="5"/>
  <c r="G1527" i="5"/>
  <c r="G1526" i="5"/>
  <c r="G1525" i="5"/>
  <c r="G1524" i="5"/>
  <c r="G1523" i="5"/>
  <c r="G1522" i="5"/>
  <c r="G1521" i="5"/>
  <c r="G1520" i="5"/>
  <c r="G1519" i="5"/>
  <c r="G1518" i="5"/>
  <c r="G1517" i="5"/>
  <c r="G1516" i="5"/>
  <c r="G1515" i="5"/>
  <c r="G1514" i="5"/>
  <c r="G1513" i="5"/>
  <c r="G1512" i="5"/>
  <c r="G1511" i="5"/>
  <c r="G1510" i="5"/>
  <c r="G1508" i="5"/>
  <c r="G1507" i="5"/>
  <c r="G1505" i="5"/>
  <c r="G1504" i="5"/>
  <c r="G1503" i="5"/>
  <c r="G1502" i="5"/>
  <c r="G1500" i="5"/>
  <c r="G1499" i="5"/>
  <c r="G1498" i="5"/>
  <c r="G1497" i="5"/>
  <c r="G1496" i="5"/>
  <c r="G1495" i="5"/>
  <c r="G1493" i="5"/>
  <c r="G1492" i="5"/>
  <c r="G1491" i="5"/>
  <c r="G1490" i="5"/>
  <c r="G1489" i="5"/>
  <c r="G1488" i="5"/>
  <c r="G1487" i="5"/>
  <c r="G1486" i="5"/>
  <c r="G1485" i="5"/>
  <c r="G1484" i="5"/>
  <c r="G1483" i="5"/>
  <c r="G1482" i="5"/>
  <c r="G1481" i="5"/>
  <c r="G1480" i="5"/>
  <c r="G1479" i="5"/>
  <c r="G1478" i="5"/>
  <c r="G1477" i="5"/>
  <c r="G1476" i="5"/>
  <c r="G1475" i="5"/>
  <c r="G1474" i="5"/>
  <c r="G1473" i="5"/>
  <c r="G1472" i="5"/>
  <c r="G1471" i="5"/>
  <c r="G1470" i="5"/>
  <c r="G1468" i="5"/>
  <c r="G1467" i="5"/>
  <c r="G1466" i="5"/>
  <c r="G1465" i="5"/>
  <c r="G1464" i="5"/>
  <c r="G1463" i="5"/>
  <c r="G1462" i="5"/>
  <c r="G1461" i="5"/>
  <c r="G1460" i="5"/>
  <c r="G1459" i="5"/>
  <c r="G1458" i="5"/>
  <c r="G1457" i="5"/>
  <c r="G1455" i="5"/>
  <c r="G1454" i="5"/>
  <c r="G1453" i="5"/>
  <c r="G1451" i="5"/>
  <c r="G1450" i="5"/>
  <c r="G1449" i="5"/>
  <c r="G1448" i="5"/>
  <c r="G1447" i="5"/>
  <c r="G1446" i="5"/>
  <c r="G1445" i="5"/>
  <c r="G1444" i="5"/>
  <c r="G1443" i="5"/>
  <c r="G1442" i="5"/>
  <c r="G1441" i="5"/>
  <c r="G1440" i="5"/>
  <c r="G1425" i="5"/>
  <c r="G1424" i="5"/>
  <c r="G1423" i="5"/>
  <c r="G1422" i="5"/>
  <c r="G1421" i="5"/>
  <c r="G1420" i="5"/>
  <c r="G1418" i="5"/>
  <c r="G1417" i="5"/>
  <c r="G1416" i="5"/>
  <c r="G1415" i="5"/>
  <c r="G1414" i="5"/>
  <c r="G1413" i="5"/>
  <c r="G1411" i="5"/>
  <c r="G1410" i="5"/>
  <c r="G1409" i="5"/>
  <c r="G1408" i="5"/>
  <c r="G1407" i="5"/>
  <c r="G1406" i="5"/>
  <c r="G1405" i="5"/>
  <c r="G1404" i="5"/>
  <c r="G1403" i="5"/>
  <c r="G1402" i="5"/>
  <c r="G1401" i="5"/>
  <c r="G1400" i="5"/>
  <c r="G1399" i="5"/>
  <c r="G1398" i="5"/>
  <c r="G1397" i="5"/>
  <c r="G1396" i="5"/>
  <c r="G1395" i="5"/>
  <c r="G1394" i="5"/>
  <c r="G1393" i="5"/>
  <c r="G1392" i="5"/>
  <c r="G1391" i="5"/>
  <c r="G1390" i="5"/>
  <c r="G1389" i="5"/>
  <c r="G1388" i="5"/>
  <c r="G1387" i="5"/>
  <c r="G1386" i="5"/>
  <c r="G1385" i="5"/>
  <c r="G1383" i="5"/>
  <c r="G1382" i="5"/>
  <c r="G1381" i="5"/>
  <c r="G1379" i="5"/>
  <c r="G1378" i="5"/>
  <c r="G1377" i="5"/>
  <c r="G1376" i="5"/>
  <c r="G1375" i="5"/>
  <c r="G1374" i="5"/>
  <c r="G1373" i="5"/>
  <c r="G1372" i="5"/>
  <c r="G1371" i="5"/>
  <c r="G1370" i="5"/>
  <c r="G1369" i="5"/>
  <c r="G1368" i="5"/>
  <c r="G1366" i="5"/>
  <c r="G1365" i="5"/>
  <c r="G1364" i="5"/>
  <c r="G1363" i="5"/>
  <c r="G1362" i="5"/>
  <c r="G1361" i="5"/>
  <c r="G1360" i="5"/>
  <c r="G1359" i="5"/>
  <c r="G1358" i="5"/>
  <c r="G1357" i="5"/>
  <c r="G1356" i="5"/>
  <c r="G1355" i="5"/>
  <c r="G1354" i="5"/>
  <c r="G1353" i="5"/>
  <c r="G1352" i="5"/>
  <c r="G1351" i="5"/>
  <c r="G1350" i="5"/>
  <c r="G1349" i="5"/>
  <c r="G1348" i="5"/>
  <c r="G1347" i="5"/>
  <c r="G1346" i="5"/>
  <c r="G1345" i="5"/>
  <c r="G1344" i="5"/>
  <c r="G1343" i="5"/>
  <c r="G1342" i="5"/>
  <c r="G1341" i="5"/>
  <c r="G1340" i="5"/>
  <c r="G1339" i="5"/>
  <c r="G1338" i="5"/>
  <c r="G1337" i="5"/>
  <c r="G1336" i="5"/>
  <c r="G1335" i="5"/>
  <c r="G1334" i="5"/>
  <c r="G1333" i="5"/>
  <c r="G1332" i="5"/>
  <c r="G1331" i="5"/>
  <c r="G1330" i="5"/>
  <c r="G1329" i="5"/>
  <c r="G1328" i="5"/>
  <c r="G1327" i="5"/>
  <c r="G1326" i="5"/>
  <c r="G1325" i="5"/>
  <c r="G1323" i="5"/>
  <c r="G1322" i="5"/>
  <c r="G1321" i="5"/>
  <c r="G1320" i="5"/>
  <c r="G1319" i="5"/>
  <c r="G1318" i="5"/>
  <c r="G1317" i="5"/>
  <c r="G1316" i="5"/>
  <c r="G1315" i="5"/>
  <c r="G1314" i="5"/>
  <c r="G1313" i="5"/>
  <c r="G1312" i="5"/>
  <c r="G1311" i="5"/>
  <c r="G1310" i="5"/>
  <c r="G1309" i="5"/>
  <c r="G1308" i="5"/>
  <c r="G1307" i="5"/>
  <c r="G1306" i="5"/>
  <c r="G1305" i="5"/>
  <c r="G1304" i="5"/>
  <c r="G1303" i="5"/>
  <c r="G1302" i="5"/>
  <c r="G1301" i="5"/>
  <c r="G1300" i="5"/>
  <c r="G1299" i="5"/>
  <c r="G1298" i="5"/>
  <c r="G1297" i="5"/>
  <c r="G1296" i="5"/>
  <c r="G1295" i="5"/>
  <c r="G1294" i="5"/>
  <c r="G1293" i="5"/>
  <c r="G1292" i="5"/>
  <c r="G1291" i="5"/>
  <c r="G1290" i="5"/>
  <c r="G1289" i="5"/>
  <c r="G1288" i="5"/>
  <c r="G1287" i="5"/>
  <c r="G1286" i="5"/>
  <c r="G1285" i="5"/>
  <c r="G1284" i="5"/>
  <c r="G1283" i="5"/>
  <c r="G1282" i="5"/>
  <c r="G1281" i="5"/>
  <c r="G1280" i="5"/>
  <c r="G1279" i="5"/>
  <c r="G1278" i="5"/>
  <c r="G1277" i="5"/>
  <c r="G1276" i="5"/>
  <c r="G1275" i="5"/>
  <c r="G1274" i="5"/>
  <c r="G1273" i="5"/>
  <c r="G1271" i="5"/>
  <c r="G1270" i="5"/>
  <c r="G1269" i="5"/>
  <c r="G1268" i="5"/>
  <c r="G1267" i="5"/>
  <c r="G1266" i="5"/>
  <c r="G1265" i="5"/>
  <c r="G1264" i="5"/>
  <c r="G1263" i="5"/>
  <c r="G1262" i="5"/>
  <c r="G1261" i="5"/>
  <c r="G1260" i="5"/>
  <c r="G1259" i="5"/>
  <c r="G1258" i="5"/>
  <c r="G1257" i="5"/>
  <c r="G1256" i="5"/>
  <c r="G1255" i="5"/>
  <c r="G1254" i="5"/>
  <c r="G1253" i="5"/>
  <c r="G1252" i="5"/>
  <c r="G1251" i="5"/>
  <c r="G1250" i="5"/>
  <c r="G1249" i="5"/>
  <c r="G1248" i="5"/>
  <c r="G1247" i="5"/>
  <c r="G1246" i="5"/>
  <c r="G1245" i="5"/>
  <c r="G1244" i="5"/>
  <c r="G1243" i="5"/>
  <c r="G1242" i="5"/>
  <c r="G1241" i="5"/>
  <c r="G1240" i="5"/>
  <c r="G1239" i="5"/>
  <c r="G1238" i="5"/>
  <c r="G1237" i="5"/>
  <c r="G1236" i="5"/>
  <c r="G1235" i="5"/>
  <c r="G1234" i="5"/>
  <c r="G1233" i="5"/>
  <c r="G1232" i="5"/>
  <c r="G1231" i="5"/>
  <c r="G1230" i="5"/>
  <c r="G1229" i="5"/>
  <c r="G1228" i="5"/>
  <c r="G1227" i="5"/>
  <c r="G1226" i="5"/>
  <c r="G1225" i="5"/>
  <c r="G1224" i="5"/>
  <c r="G1223" i="5"/>
  <c r="G1222" i="5"/>
  <c r="G1221" i="5"/>
  <c r="G1208" i="5"/>
  <c r="G1207" i="5"/>
  <c r="G1206" i="5"/>
  <c r="G1205" i="5"/>
  <c r="G1203" i="5"/>
  <c r="G1202" i="5"/>
  <c r="G1201" i="5"/>
  <c r="G1200" i="5"/>
  <c r="G1199" i="5"/>
  <c r="G1198" i="5"/>
  <c r="G1197" i="5"/>
  <c r="G1196" i="5"/>
  <c r="G1195" i="5"/>
  <c r="G1194" i="5"/>
  <c r="G1193" i="5"/>
  <c r="G1192" i="5"/>
  <c r="G1191" i="5"/>
  <c r="G1190" i="5"/>
  <c r="G1189" i="5"/>
  <c r="G1188" i="5"/>
  <c r="G1187" i="5"/>
  <c r="G1186" i="5"/>
  <c r="G1185" i="5"/>
  <c r="G1184" i="5"/>
  <c r="G1182" i="5"/>
  <c r="G1181" i="5"/>
  <c r="G1180" i="5"/>
  <c r="G1179" i="5"/>
  <c r="G1178" i="5"/>
  <c r="G1177" i="5"/>
  <c r="G1176" i="5"/>
  <c r="G1175" i="5"/>
  <c r="G1174" i="5"/>
  <c r="G1173" i="5"/>
  <c r="G1172" i="5"/>
  <c r="G1171" i="5"/>
  <c r="G1170" i="5"/>
  <c r="G1169" i="5"/>
  <c r="G1168" i="5"/>
  <c r="G1167" i="5"/>
  <c r="G1166" i="5"/>
  <c r="G1165" i="5"/>
  <c r="G1164" i="5"/>
  <c r="G1161" i="5"/>
  <c r="G1160" i="5"/>
  <c r="G1159" i="5"/>
  <c r="G1158" i="5"/>
  <c r="G1157" i="5"/>
  <c r="G1156" i="5"/>
  <c r="G1155" i="5"/>
  <c r="G1154" i="5"/>
  <c r="G1152" i="5"/>
  <c r="G1151" i="5"/>
  <c r="G1150" i="5"/>
  <c r="G1149" i="5"/>
  <c r="G1148" i="5"/>
  <c r="G1147" i="5"/>
  <c r="G1146" i="5"/>
  <c r="G1145" i="5"/>
  <c r="G1143" i="5"/>
  <c r="G1142" i="5"/>
  <c r="G1141" i="5"/>
  <c r="G1140" i="5"/>
  <c r="G1139" i="5"/>
  <c r="G1137" i="5"/>
  <c r="G1136" i="5"/>
  <c r="G1135" i="5"/>
  <c r="G1134" i="5"/>
  <c r="G1133" i="5"/>
  <c r="G1132" i="5"/>
  <c r="G1131" i="5"/>
  <c r="G1130" i="5"/>
  <c r="G1129" i="5"/>
  <c r="G1128" i="5"/>
  <c r="G1127" i="5"/>
  <c r="G1126" i="5"/>
  <c r="G1124" i="5"/>
  <c r="G1123" i="5"/>
  <c r="G1122" i="5"/>
  <c r="G1121" i="5"/>
  <c r="G1120" i="5"/>
  <c r="G1119" i="5"/>
  <c r="G1118" i="5"/>
  <c r="G1117" i="5"/>
  <c r="G1116" i="5"/>
  <c r="G1115" i="5"/>
  <c r="G1114" i="5"/>
  <c r="G1113" i="5"/>
  <c r="G1111" i="5"/>
  <c r="G1110" i="5"/>
  <c r="G1109" i="5"/>
  <c r="G1108" i="5"/>
  <c r="G1106" i="5"/>
  <c r="G1105" i="5"/>
  <c r="G1104" i="5"/>
  <c r="G1103" i="5"/>
  <c r="G1056" i="5"/>
  <c r="G1055" i="5"/>
  <c r="G1054" i="5"/>
  <c r="G1053" i="5"/>
  <c r="G1051" i="5"/>
  <c r="G1050" i="5"/>
  <c r="G1049" i="5"/>
  <c r="G1048" i="5"/>
  <c r="G1046" i="5"/>
  <c r="G1045" i="5"/>
  <c r="G1044" i="5"/>
  <c r="G1043" i="5"/>
  <c r="G1042" i="5"/>
  <c r="G1041" i="5"/>
  <c r="G1101" i="5"/>
  <c r="G1100" i="5"/>
  <c r="G1099" i="5"/>
  <c r="G1098" i="5"/>
  <c r="G1097" i="5"/>
  <c r="G1096" i="5"/>
  <c r="G1095" i="5"/>
  <c r="G1094" i="5"/>
  <c r="G1093" i="5"/>
  <c r="G1092" i="5"/>
  <c r="G1091" i="5"/>
  <c r="G1090" i="5"/>
  <c r="G1089" i="5"/>
  <c r="G1088" i="5"/>
  <c r="G1087" i="5"/>
  <c r="G1086" i="5"/>
  <c r="G1085" i="5"/>
  <c r="G1084" i="5"/>
  <c r="G1083" i="5"/>
  <c r="G1082" i="5"/>
  <c r="G1081" i="5"/>
  <c r="G1080" i="5"/>
  <c r="G1078" i="5"/>
  <c r="G1077" i="5"/>
  <c r="G1076" i="5"/>
  <c r="G1075" i="5"/>
  <c r="G1073" i="5"/>
  <c r="G1072" i="5"/>
  <c r="G1071" i="5"/>
  <c r="G1070" i="5"/>
  <c r="G1069" i="5"/>
  <c r="G1068" i="5"/>
  <c r="G1067" i="5"/>
  <c r="G1066" i="5"/>
  <c r="G1006" i="5"/>
  <c r="G1005" i="5"/>
  <c r="G1004" i="5"/>
  <c r="G1003" i="5"/>
  <c r="G1002" i="5"/>
  <c r="G1039" i="5"/>
  <c r="G1038" i="5"/>
  <c r="G1037" i="5"/>
  <c r="G1036" i="5"/>
  <c r="G1019" i="5"/>
  <c r="G1018" i="5"/>
  <c r="G1017" i="5"/>
  <c r="G1016" i="5"/>
  <c r="G1015" i="5"/>
  <c r="G1014" i="5"/>
  <c r="G1013" i="5"/>
  <c r="G1012" i="5"/>
  <c r="G1011" i="5"/>
  <c r="G1010" i="5"/>
  <c r="G1009" i="5"/>
  <c r="G1008" i="5"/>
  <c r="G1000" i="5"/>
  <c r="G999" i="5"/>
  <c r="G998" i="5"/>
  <c r="G997" i="5"/>
  <c r="G996" i="5"/>
  <c r="G995" i="5"/>
  <c r="G994" i="5"/>
  <c r="G993" i="5"/>
  <c r="G992" i="5"/>
  <c r="G991" i="5"/>
  <c r="G990" i="5"/>
  <c r="G989" i="5"/>
  <c r="G988" i="5"/>
  <c r="G987" i="5"/>
  <c r="G945" i="5"/>
  <c r="G944" i="5"/>
  <c r="G943" i="5"/>
  <c r="G942" i="5"/>
  <c r="G972" i="5"/>
  <c r="G971" i="5"/>
  <c r="G970" i="5"/>
  <c r="G969" i="5"/>
  <c r="G968" i="5"/>
  <c r="G967" i="5"/>
  <c r="G966" i="5"/>
  <c r="G965" i="5"/>
  <c r="G963" i="5"/>
  <c r="G962" i="5"/>
  <c r="G961" i="5"/>
  <c r="G960" i="5"/>
  <c r="G959" i="5"/>
  <c r="G958" i="5"/>
  <c r="G957" i="5"/>
  <c r="G956" i="5"/>
  <c r="G955" i="5"/>
  <c r="G954" i="5"/>
  <c r="G920" i="5"/>
  <c r="G919" i="5"/>
  <c r="G918" i="5"/>
  <c r="G917" i="5"/>
  <c r="G916" i="5"/>
  <c r="G915" i="5"/>
  <c r="G914" i="5"/>
  <c r="G913" i="5"/>
  <c r="G911" i="5"/>
  <c r="G910" i="5"/>
  <c r="G909" i="5"/>
  <c r="G907" i="5"/>
  <c r="G906" i="5"/>
  <c r="G905" i="5"/>
  <c r="G891" i="5"/>
  <c r="G890" i="5"/>
  <c r="G889" i="5"/>
  <c r="G888" i="5"/>
  <c r="G887" i="5"/>
  <c r="G886" i="5"/>
  <c r="G885" i="5"/>
  <c r="G884" i="5"/>
  <c r="G883" i="5"/>
  <c r="G882" i="5"/>
  <c r="G881" i="5"/>
  <c r="G880" i="5"/>
  <c r="G879" i="5"/>
  <c r="G878" i="5"/>
  <c r="G877" i="5"/>
  <c r="G876" i="5"/>
  <c r="G875" i="5"/>
  <c r="G874" i="5"/>
  <c r="G873" i="5"/>
  <c r="G872" i="5"/>
  <c r="G871" i="5"/>
  <c r="G870" i="5"/>
  <c r="G868" i="5"/>
  <c r="G867" i="5"/>
  <c r="G866" i="5"/>
  <c r="G865" i="5"/>
  <c r="G864" i="5"/>
  <c r="G863" i="5"/>
  <c r="G862" i="5"/>
  <c r="G861" i="5"/>
  <c r="G859" i="5"/>
  <c r="G858" i="5"/>
  <c r="G857" i="5"/>
  <c r="G856" i="5"/>
  <c r="G855" i="5"/>
  <c r="G854" i="5"/>
  <c r="G853" i="5"/>
  <c r="G852" i="5"/>
  <c r="G851" i="5"/>
  <c r="G850" i="5"/>
  <c r="G849" i="5"/>
  <c r="G848" i="5"/>
  <c r="G847" i="5"/>
  <c r="G846" i="5"/>
  <c r="G845" i="5"/>
  <c r="G844" i="5"/>
  <c r="G843" i="5"/>
  <c r="G842" i="5"/>
  <c r="G841" i="5"/>
  <c r="G840" i="5"/>
  <c r="G839" i="5"/>
  <c r="G838" i="5"/>
  <c r="G837" i="5"/>
  <c r="G836" i="5"/>
  <c r="G835" i="5"/>
  <c r="G834" i="5"/>
  <c r="G833" i="5"/>
  <c r="G832" i="5"/>
  <c r="G831" i="5"/>
  <c r="G830" i="5"/>
  <c r="G829" i="5"/>
  <c r="G828" i="5"/>
  <c r="G827" i="5"/>
  <c r="G826" i="5"/>
  <c r="G825" i="5"/>
  <c r="G824" i="5"/>
  <c r="G823" i="5"/>
  <c r="G822" i="5"/>
  <c r="G821" i="5"/>
  <c r="G820" i="5"/>
  <c r="G819" i="5"/>
  <c r="G818" i="5"/>
  <c r="G816" i="5"/>
  <c r="G815" i="5"/>
  <c r="G814" i="5"/>
  <c r="G813" i="5"/>
  <c r="G812" i="5"/>
  <c r="G811" i="5"/>
  <c r="G810" i="5"/>
  <c r="G809" i="5"/>
  <c r="G808" i="5"/>
  <c r="G807" i="5"/>
  <c r="G806" i="5"/>
  <c r="G805" i="5"/>
  <c r="G804" i="5"/>
  <c r="G803" i="5"/>
  <c r="G802" i="5"/>
  <c r="G801" i="5"/>
  <c r="G800" i="5"/>
  <c r="G799" i="5"/>
  <c r="G798" i="5"/>
  <c r="G797" i="5"/>
  <c r="G796" i="5"/>
  <c r="G795" i="5"/>
  <c r="G794" i="5"/>
  <c r="G793" i="5"/>
  <c r="G792" i="5"/>
  <c r="G791" i="5"/>
  <c r="G790" i="5"/>
  <c r="G789" i="5"/>
  <c r="G788" i="5"/>
  <c r="G787" i="5"/>
  <c r="G786" i="5"/>
  <c r="G785" i="5"/>
  <c r="G784" i="5"/>
  <c r="G783" i="5"/>
  <c r="G782" i="5"/>
  <c r="G781" i="5"/>
  <c r="G780" i="5"/>
  <c r="G779" i="5"/>
  <c r="G778" i="5"/>
  <c r="G777" i="5"/>
  <c r="G776" i="5"/>
  <c r="G775" i="5"/>
  <c r="G773" i="5"/>
  <c r="G772" i="5"/>
  <c r="G771" i="5"/>
  <c r="G770" i="5"/>
  <c r="G769" i="5"/>
  <c r="G768" i="5"/>
  <c r="G767" i="5"/>
  <c r="G766" i="5"/>
  <c r="G765" i="5"/>
  <c r="G764" i="5"/>
  <c r="G763" i="5"/>
  <c r="G762" i="5"/>
  <c r="G761" i="5"/>
  <c r="G760" i="5"/>
  <c r="G759" i="5"/>
  <c r="G758" i="5"/>
  <c r="G757" i="5"/>
  <c r="G756" i="5"/>
  <c r="G755" i="5"/>
  <c r="G754" i="5"/>
  <c r="G753" i="5"/>
  <c r="G752" i="5"/>
  <c r="G751" i="5"/>
  <c r="G750" i="5"/>
  <c r="G749" i="5"/>
  <c r="G748" i="5"/>
  <c r="G747" i="5"/>
  <c r="G746" i="5"/>
  <c r="G745" i="5"/>
  <c r="G744" i="5"/>
  <c r="G743" i="5"/>
  <c r="G742" i="5"/>
  <c r="G741" i="5"/>
  <c r="G740" i="5"/>
  <c r="G739" i="5"/>
  <c r="G738" i="5"/>
  <c r="G737" i="5"/>
  <c r="G736" i="5"/>
  <c r="G735" i="5"/>
  <c r="G734" i="5"/>
  <c r="G733" i="5"/>
  <c r="G732" i="5"/>
  <c r="G730" i="5"/>
  <c r="G729" i="5"/>
  <c r="G728" i="5"/>
  <c r="G727" i="5"/>
  <c r="G726" i="5"/>
  <c r="G725" i="5"/>
  <c r="G723" i="5"/>
  <c r="G722" i="5"/>
  <c r="G721" i="5"/>
  <c r="G720" i="5"/>
  <c r="G719" i="5"/>
  <c r="G718" i="5"/>
  <c r="G717" i="5"/>
  <c r="G716" i="5"/>
  <c r="G714" i="5"/>
  <c r="G713" i="5"/>
  <c r="G712" i="5"/>
  <c r="G711" i="5"/>
  <c r="G710" i="5"/>
  <c r="G709" i="5"/>
  <c r="G708" i="5"/>
  <c r="G707" i="5"/>
  <c r="G706" i="5"/>
  <c r="G705" i="5"/>
  <c r="G703" i="5"/>
  <c r="G702" i="5"/>
  <c r="G701" i="5"/>
  <c r="G700" i="5"/>
  <c r="G699" i="5"/>
  <c r="G698" i="5"/>
  <c r="G696" i="5"/>
  <c r="G695" i="5"/>
  <c r="G694" i="5"/>
  <c r="G693" i="5"/>
  <c r="G692" i="5"/>
  <c r="G691" i="5"/>
  <c r="G689" i="5"/>
  <c r="G688" i="5"/>
  <c r="G687" i="5"/>
  <c r="G686" i="5"/>
  <c r="G685" i="5"/>
  <c r="G684" i="5"/>
  <c r="G672" i="5"/>
  <c r="G671" i="5"/>
  <c r="G669" i="5"/>
  <c r="G668" i="5"/>
  <c r="G667" i="5"/>
  <c r="G666" i="5"/>
  <c r="G665" i="5"/>
  <c r="G664" i="5"/>
  <c r="G663" i="5"/>
  <c r="G662" i="5"/>
  <c r="G661" i="5"/>
  <c r="G660" i="5"/>
  <c r="G659" i="5"/>
  <c r="G658" i="5"/>
  <c r="G657" i="5"/>
  <c r="G656" i="5"/>
  <c r="G654" i="5"/>
  <c r="G653" i="5"/>
  <c r="G652" i="5"/>
  <c r="G651" i="5"/>
  <c r="G650" i="5"/>
  <c r="G649" i="5"/>
  <c r="G648" i="5"/>
  <c r="G647" i="5"/>
  <c r="G646" i="5"/>
  <c r="G645" i="5"/>
  <c r="G644" i="5"/>
  <c r="G643" i="5"/>
  <c r="G642" i="5"/>
  <c r="G640" i="5"/>
  <c r="G639" i="5"/>
  <c r="G638" i="5"/>
  <c r="G637" i="5"/>
  <c r="G636" i="5"/>
  <c r="G635" i="5"/>
  <c r="G634" i="5"/>
  <c r="G633" i="5"/>
  <c r="G632" i="5"/>
  <c r="G631" i="5"/>
  <c r="G630" i="5"/>
  <c r="G629" i="5"/>
  <c r="G628" i="5"/>
  <c r="G627" i="5"/>
  <c r="G626" i="5"/>
  <c r="G624" i="5"/>
  <c r="G623" i="5"/>
  <c r="G622" i="5"/>
  <c r="G621" i="5"/>
  <c r="G620" i="5"/>
  <c r="G619" i="5"/>
  <c r="G618" i="5"/>
  <c r="G617" i="5"/>
  <c r="G615" i="5"/>
  <c r="G614" i="5"/>
  <c r="G613" i="5"/>
  <c r="G612" i="5"/>
  <c r="G611" i="5"/>
  <c r="G610" i="5"/>
  <c r="G609" i="5"/>
  <c r="G608" i="5"/>
  <c r="G606" i="5"/>
  <c r="G605" i="5"/>
  <c r="G604" i="5"/>
  <c r="G603" i="5"/>
  <c r="G602" i="5"/>
  <c r="G601" i="5"/>
  <c r="G600" i="5"/>
  <c r="G599" i="5"/>
  <c r="G596" i="5"/>
  <c r="G595" i="5"/>
  <c r="G594" i="5"/>
  <c r="G593" i="5"/>
  <c r="G592" i="5"/>
  <c r="G591" i="5"/>
  <c r="G590" i="5"/>
  <c r="G589" i="5"/>
  <c r="G588" i="5"/>
  <c r="G587" i="5"/>
  <c r="G586" i="5"/>
  <c r="G585" i="5"/>
  <c r="G584" i="5"/>
  <c r="G582" i="5"/>
  <c r="G581" i="5"/>
  <c r="G580" i="5"/>
  <c r="G579" i="5"/>
  <c r="G578" i="5"/>
  <c r="G577" i="5"/>
  <c r="G576" i="5"/>
  <c r="G575" i="5"/>
  <c r="G567" i="5"/>
  <c r="G566" i="5"/>
  <c r="G565" i="5"/>
  <c r="G564" i="5"/>
  <c r="G563" i="5"/>
  <c r="G562" i="5"/>
  <c r="G561" i="5"/>
  <c r="G560" i="5"/>
  <c r="G558" i="5"/>
  <c r="G557" i="5"/>
  <c r="G556" i="5"/>
  <c r="G555" i="5"/>
  <c r="G554" i="5"/>
  <c r="G553" i="5"/>
  <c r="G552" i="5"/>
  <c r="G551" i="5"/>
  <c r="G548" i="5"/>
  <c r="G547" i="5"/>
  <c r="G546" i="5"/>
  <c r="G545" i="5"/>
  <c r="G544" i="5"/>
  <c r="G542" i="5"/>
  <c r="G541" i="5"/>
  <c r="G540" i="5"/>
  <c r="G533" i="5"/>
  <c r="G532" i="5"/>
  <c r="G531" i="5"/>
  <c r="G530" i="5"/>
  <c r="G529" i="5"/>
  <c r="G528" i="5"/>
  <c r="G527" i="5"/>
  <c r="G526" i="5"/>
  <c r="G525" i="5"/>
  <c r="G524" i="5"/>
  <c r="G523" i="5"/>
  <c r="G522" i="5"/>
  <c r="G521" i="5"/>
  <c r="G510" i="5"/>
  <c r="G509" i="5"/>
  <c r="G508" i="5"/>
  <c r="G506" i="5"/>
  <c r="G505" i="5"/>
  <c r="G504" i="5"/>
  <c r="G502" i="5"/>
  <c r="G501" i="5"/>
  <c r="G499" i="5"/>
  <c r="G498" i="5"/>
  <c r="G496" i="5"/>
  <c r="G495" i="5"/>
  <c r="G493" i="5"/>
  <c r="G492" i="5"/>
  <c r="G491" i="5"/>
  <c r="G490" i="5"/>
  <c r="G488" i="5"/>
  <c r="G487" i="5"/>
  <c r="G486" i="5"/>
  <c r="G484" i="5"/>
  <c r="G483" i="5"/>
  <c r="G482" i="5"/>
  <c r="G481" i="5"/>
  <c r="G480" i="5"/>
  <c r="G479" i="5"/>
  <c r="G478" i="5"/>
  <c r="G477" i="5"/>
  <c r="G475" i="5"/>
  <c r="G474" i="5"/>
  <c r="G473" i="5"/>
  <c r="G472" i="5"/>
  <c r="G471" i="5"/>
  <c r="G470" i="5"/>
  <c r="G468" i="5"/>
  <c r="G467" i="5"/>
  <c r="G466" i="5"/>
  <c r="G465" i="5"/>
  <c r="G464" i="5"/>
  <c r="G463" i="5"/>
  <c r="G462" i="5"/>
  <c r="G461" i="5"/>
  <c r="G459" i="5"/>
  <c r="G458" i="5"/>
  <c r="G456" i="5"/>
  <c r="G455" i="5"/>
  <c r="G454" i="5"/>
  <c r="G453" i="5"/>
  <c r="G452" i="5"/>
  <c r="G451" i="5"/>
  <c r="G449" i="5"/>
  <c r="G448" i="5"/>
  <c r="G447" i="5"/>
  <c r="G446" i="5"/>
  <c r="G445" i="5"/>
  <c r="G444" i="5"/>
  <c r="G442" i="5"/>
  <c r="G441" i="5"/>
  <c r="G440" i="5"/>
  <c r="G439" i="5"/>
  <c r="G438" i="5"/>
  <c r="G436" i="5"/>
  <c r="G435" i="5"/>
  <c r="G434" i="5"/>
  <c r="G433" i="5"/>
  <c r="G432" i="5"/>
  <c r="G430" i="5"/>
  <c r="G429" i="5"/>
  <c r="G427" i="5"/>
  <c r="G426" i="5"/>
  <c r="G425" i="5"/>
  <c r="G424" i="5"/>
  <c r="G422" i="5"/>
  <c r="G418" i="5"/>
  <c r="G417" i="5"/>
  <c r="G416" i="5"/>
  <c r="G415" i="5"/>
  <c r="G414" i="5"/>
  <c r="G413" i="5"/>
  <c r="G411" i="5"/>
  <c r="G410" i="5"/>
  <c r="G408" i="5"/>
  <c r="G407" i="5"/>
  <c r="G406" i="5"/>
  <c r="G405" i="5"/>
  <c r="G404" i="5"/>
  <c r="G402" i="5"/>
  <c r="G401" i="5"/>
  <c r="G400" i="5"/>
  <c r="G399" i="5"/>
  <c r="G398" i="5"/>
  <c r="G397" i="5"/>
  <c r="G396" i="5"/>
  <c r="G395" i="5"/>
  <c r="G387" i="5"/>
  <c r="G386" i="5"/>
  <c r="G385" i="5"/>
  <c r="G384" i="5"/>
  <c r="G382" i="5"/>
  <c r="G381" i="5"/>
  <c r="G380" i="5"/>
  <c r="G379" i="5"/>
  <c r="G377" i="5"/>
  <c r="G376" i="5"/>
  <c r="G375" i="5"/>
  <c r="G374" i="5"/>
  <c r="G372" i="5"/>
  <c r="G371" i="5"/>
  <c r="G370" i="5"/>
  <c r="G369" i="5"/>
  <c r="G367" i="5"/>
  <c r="G366" i="5"/>
  <c r="G365" i="5"/>
  <c r="G364" i="5"/>
  <c r="G362" i="5"/>
  <c r="G361" i="5"/>
  <c r="G360" i="5"/>
  <c r="G359" i="5"/>
  <c r="G357" i="5"/>
  <c r="G356" i="5"/>
  <c r="G355" i="5"/>
  <c r="G354" i="5"/>
  <c r="G352" i="5"/>
  <c r="G351" i="5"/>
  <c r="G350" i="5"/>
  <c r="G349" i="5"/>
  <c r="G348" i="5"/>
  <c r="G347" i="5"/>
  <c r="G346" i="5"/>
  <c r="G344" i="5"/>
  <c r="G343" i="5"/>
  <c r="G342" i="5"/>
  <c r="G341" i="5"/>
  <c r="G340" i="5"/>
  <c r="G339" i="5"/>
  <c r="G338" i="5"/>
  <c r="G337" i="5"/>
  <c r="G336" i="5"/>
  <c r="G335" i="5"/>
  <c r="G333" i="5"/>
  <c r="G332" i="5"/>
  <c r="G331" i="5"/>
  <c r="G330" i="5"/>
  <c r="G329" i="5"/>
  <c r="G328" i="5"/>
  <c r="G327" i="5"/>
  <c r="G325" i="5"/>
  <c r="G324" i="5"/>
  <c r="G323" i="5"/>
  <c r="G322" i="5"/>
  <c r="G321" i="5"/>
  <c r="G320" i="5"/>
  <c r="G319" i="5"/>
  <c r="G317" i="5"/>
  <c r="G316" i="5"/>
  <c r="G315" i="5"/>
  <c r="G314" i="5"/>
  <c r="G313" i="5"/>
  <c r="G312" i="5"/>
  <c r="G311" i="5"/>
  <c r="G310" i="5"/>
  <c r="G309" i="5"/>
  <c r="G307" i="5"/>
  <c r="G306" i="5"/>
  <c r="G305" i="5"/>
  <c r="G304" i="5"/>
  <c r="G303" i="5"/>
  <c r="G302" i="5"/>
  <c r="G301" i="5"/>
  <c r="G300" i="5"/>
  <c r="G299" i="5"/>
  <c r="G298" i="5"/>
  <c r="G297" i="5"/>
  <c r="G295" i="5"/>
  <c r="G294" i="5"/>
  <c r="G292" i="5"/>
  <c r="G291" i="5"/>
  <c r="G290" i="5"/>
  <c r="G289" i="5"/>
  <c r="G287" i="5"/>
  <c r="G286" i="5"/>
  <c r="G285" i="5"/>
  <c r="G284" i="5"/>
  <c r="G283" i="5"/>
  <c r="G282" i="5"/>
  <c r="G280" i="5"/>
  <c r="G279" i="5"/>
  <c r="G278" i="5"/>
  <c r="G277" i="5"/>
  <c r="G276" i="5"/>
  <c r="G275" i="5"/>
  <c r="G274" i="5"/>
  <c r="G273" i="5"/>
  <c r="G272" i="5"/>
  <c r="G271" i="5"/>
  <c r="G270" i="5"/>
  <c r="G269" i="5"/>
  <c r="G268" i="5"/>
  <c r="G267" i="5"/>
  <c r="G266" i="5"/>
  <c r="G265" i="5"/>
  <c r="G264" i="5"/>
  <c r="G263" i="5"/>
  <c r="G261" i="5"/>
  <c r="G260" i="5"/>
  <c r="G258" i="5"/>
  <c r="G248" i="5"/>
  <c r="G247" i="5"/>
  <c r="G246" i="5"/>
  <c r="G245" i="5"/>
  <c r="G244" i="5"/>
  <c r="G243" i="5"/>
  <c r="G242" i="5"/>
  <c r="G241" i="5"/>
  <c r="G239" i="5"/>
  <c r="G238" i="5"/>
  <c r="G237" i="5"/>
  <c r="G236" i="5"/>
  <c r="G235" i="5"/>
  <c r="G234" i="5"/>
  <c r="G233" i="5"/>
  <c r="G232" i="5"/>
  <c r="G231" i="5"/>
  <c r="G230" i="5"/>
  <c r="G229" i="5"/>
  <c r="G228" i="5"/>
  <c r="G226" i="5"/>
  <c r="G225" i="5"/>
  <c r="G224" i="5"/>
  <c r="G223" i="5"/>
  <c r="G222" i="5"/>
  <c r="G221" i="5"/>
  <c r="G219" i="5"/>
  <c r="G218" i="5"/>
  <c r="G217" i="5"/>
  <c r="G216" i="5"/>
  <c r="G215" i="5"/>
  <c r="G214" i="5"/>
  <c r="G212" i="5"/>
  <c r="G211" i="5"/>
  <c r="G210" i="5"/>
  <c r="G209" i="5"/>
  <c r="G208" i="5"/>
  <c r="G204" i="5"/>
  <c r="G203" i="5"/>
  <c r="G202" i="5"/>
  <c r="G201" i="5"/>
  <c r="G200" i="5"/>
  <c r="G194" i="5"/>
  <c r="G193" i="5"/>
  <c r="G192" i="5"/>
  <c r="G191" i="5"/>
  <c r="G189" i="5"/>
  <c r="G188" i="5"/>
  <c r="G186" i="5"/>
  <c r="G185" i="5"/>
  <c r="G184" i="5"/>
  <c r="G183" i="5"/>
  <c r="G182" i="5"/>
  <c r="G181" i="5"/>
  <c r="G180" i="5"/>
  <c r="G179" i="5"/>
  <c r="G178" i="5"/>
  <c r="G177" i="5"/>
  <c r="G176" i="5"/>
  <c r="G175" i="5"/>
  <c r="G173" i="5"/>
  <c r="G172" i="5"/>
  <c r="G171" i="5"/>
  <c r="G170" i="5"/>
  <c r="G169" i="5"/>
  <c r="G168" i="5"/>
  <c r="G167" i="5"/>
  <c r="G166" i="5"/>
  <c r="G165" i="5"/>
  <c r="G164" i="5"/>
  <c r="G163" i="5"/>
  <c r="G162" i="5"/>
  <c r="G160" i="5"/>
  <c r="G159" i="5"/>
  <c r="G158" i="5"/>
  <c r="G157" i="5"/>
  <c r="G156" i="5"/>
  <c r="G155" i="5"/>
  <c r="G154" i="5"/>
  <c r="G153" i="5"/>
  <c r="G152" i="5"/>
  <c r="G151" i="5"/>
  <c r="G150" i="5"/>
  <c r="G149" i="5"/>
  <c r="G130" i="5"/>
  <c r="G129" i="5"/>
  <c r="G128" i="5"/>
  <c r="G127" i="5"/>
  <c r="G125" i="5"/>
  <c r="G124" i="5"/>
  <c r="G123" i="5"/>
  <c r="G122" i="5"/>
  <c r="G121" i="5"/>
  <c r="G120" i="5"/>
  <c r="G119" i="5"/>
  <c r="G118" i="5"/>
  <c r="G117" i="5"/>
  <c r="G116" i="5"/>
  <c r="G115" i="5"/>
  <c r="G114" i="5"/>
  <c r="G113" i="5"/>
  <c r="G112" i="5"/>
  <c r="G111" i="5"/>
  <c r="G110" i="5"/>
  <c r="G109" i="5"/>
  <c r="G108" i="5"/>
  <c r="G107" i="5"/>
  <c r="G106" i="5"/>
  <c r="G105" i="5"/>
  <c r="G104" i="5"/>
  <c r="G103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18" i="5"/>
  <c r="G17" i="5"/>
  <c r="G16" i="5"/>
  <c r="G14" i="5"/>
  <c r="G13" i="5"/>
  <c r="G12" i="5"/>
  <c r="G11" i="5"/>
  <c r="G10" i="5"/>
  <c r="G9" i="5"/>
  <c r="G8" i="5"/>
  <c r="G7" i="5"/>
  <c r="G6" i="5"/>
  <c r="G5" i="5"/>
  <c r="E1383" i="5"/>
  <c r="E1382" i="5"/>
  <c r="D1382" i="5"/>
  <c r="E1381" i="5"/>
</calcChain>
</file>

<file path=xl/sharedStrings.xml><?xml version="1.0" encoding="utf-8"?>
<sst xmlns="http://schemas.openxmlformats.org/spreadsheetml/2006/main" count="13961" uniqueCount="4010">
  <si>
    <t>Tipo</t>
  </si>
  <si>
    <t>Descrição</t>
  </si>
  <si>
    <t>Código EAN</t>
  </si>
  <si>
    <t>Quantid. Caixa</t>
  </si>
  <si>
    <t>Potência W</t>
  </si>
  <si>
    <t>IP</t>
  </si>
  <si>
    <t>Garantia (anos)</t>
  </si>
  <si>
    <t>Tipo Desconto</t>
  </si>
  <si>
    <t>Luminária</t>
  </si>
  <si>
    <t>DOWNLIGHT UGR19</t>
  </si>
  <si>
    <t>IP54/IP20</t>
  </si>
  <si>
    <t>Verde</t>
  </si>
  <si>
    <t>DL UGR19 PFM DN195 21 W840 IP54 ZBVR WT</t>
  </si>
  <si>
    <t>DL COMFORT DN130 13W/3CCT 60DEG WT</t>
  </si>
  <si>
    <t>DL COMFORT DN155 18W/3CCT 60DEG WT</t>
  </si>
  <si>
    <t>DL COMFORT DN205 20W/3CCT 60DEG WT</t>
  </si>
  <si>
    <t>DOWNLIGHT SURFACE IP65</t>
  </si>
  <si>
    <t>IP65/IP65</t>
  </si>
  <si>
    <t>DOWNLIGHT ALU</t>
  </si>
  <si>
    <t>DL ALU DN150 14W/3000K WT IP44</t>
  </si>
  <si>
    <t>IP44/IP20</t>
  </si>
  <si>
    <t>DL ALU DN150 14W/4000K WT IP44</t>
  </si>
  <si>
    <t>DL ALU DN150 14W/6500K WT IP44</t>
  </si>
  <si>
    <t>DL ALU DN200 25W/3000K WT IP44</t>
  </si>
  <si>
    <t>DL ALU DN200 25W/4000K WT IP44</t>
  </si>
  <si>
    <t>DL ALU DN200 25W/6500K WT IP44</t>
  </si>
  <si>
    <t xml:space="preserve">DL ALU DN200 35W/3000K WT IP44 </t>
  </si>
  <si>
    <t>DL ALU DN200 35W/4000K WT IP44</t>
  </si>
  <si>
    <t>DL ALU DN200 35W/6500K WT IP44</t>
  </si>
  <si>
    <t>DL ALU DALI DN150 14W/3000K WT IP44</t>
  </si>
  <si>
    <t>DL ALU DALI DN150 14W/4000K WT IP44</t>
  </si>
  <si>
    <t>DL ALU DALI DN150 14W/6500K WT IP44</t>
  </si>
  <si>
    <t>DL ALU DALI DN200 25W/3000K WT IP44</t>
  </si>
  <si>
    <t xml:space="preserve">DL ALU DALI DN200 25W/4000K WT IP44   </t>
  </si>
  <si>
    <t xml:space="preserve">DL ALU DALI DN200 25W/6500K WT IP44   </t>
  </si>
  <si>
    <t xml:space="preserve">DL ALU DALI DN200 35W/3000K WT IP44   </t>
  </si>
  <si>
    <t xml:space="preserve">DL ALU DALI DN200 35W/4000K WT IP44  </t>
  </si>
  <si>
    <t xml:space="preserve">DL ALU DALI DN200 35W/6500K WT IP44  </t>
  </si>
  <si>
    <t>IP44</t>
  </si>
  <si>
    <t xml:space="preserve">DL IP44 FRAME DN 90 WT      </t>
  </si>
  <si>
    <t>Acess. Lum.</t>
  </si>
  <si>
    <t xml:space="preserve">DL IP44 FRAME DN 115 WT     </t>
  </si>
  <si>
    <t xml:space="preserve">DL IP44 FRAME DN 165 WT     </t>
  </si>
  <si>
    <t xml:space="preserve">DL IP44 FRAME DN 190 WT     </t>
  </si>
  <si>
    <t xml:space="preserve">DL IP44 FRAME DN 215 WT     </t>
  </si>
  <si>
    <t>DL SLIM ALU DN180 17W/3000K IP20</t>
  </si>
  <si>
    <t>IP20</t>
  </si>
  <si>
    <t>DL SLIM ALU DN180 17W/4000K IP20</t>
  </si>
  <si>
    <t>DL SLIM ALU DN205 22W/3000K IP20</t>
  </si>
  <si>
    <t>DL SLIM ALU DN205 22W/4000K IP20</t>
  </si>
  <si>
    <t>DL SLIM SQ105 6W/3000K WT IP20</t>
  </si>
  <si>
    <t>DL SLIM SQ105 6W/4000K WT IP20</t>
  </si>
  <si>
    <t>DL SLIM SQ105 6W/6500K WT IP20</t>
  </si>
  <si>
    <t>DL SLIM SQ155 12W/3000K WT IP20</t>
  </si>
  <si>
    <t>DL SLIM SQ155 12W/4000K WT IP20</t>
  </si>
  <si>
    <t>DL SLIM SQ155 12W/6500K WT IP20</t>
  </si>
  <si>
    <t xml:space="preserve">DL SLIM SQ210 18W/3000K WT IP20 </t>
  </si>
  <si>
    <t>DL SLIM SQ210 18W/4000K WT IP20</t>
  </si>
  <si>
    <t>DL SLIM SQ210 18W/6500K WT IP20</t>
  </si>
  <si>
    <t>DL SLIM FRAME SQ105 WT</t>
  </si>
  <si>
    <t>DL SLIM FRAME SQ155 WT</t>
  </si>
  <si>
    <t>DL SLIM FRAME SQ210 WT</t>
  </si>
  <si>
    <t>DL SLIM DN105 6W/3000K WT IP20</t>
  </si>
  <si>
    <t>DL SLIM DN105 6W/4000K WT IP20</t>
  </si>
  <si>
    <t>DL SLIM DN105 6W/6500K WT IP20</t>
  </si>
  <si>
    <t>DL SLIM DN155 12W/3000K WT IP20</t>
  </si>
  <si>
    <t>DL SLIM DN155 12W/4000K WT IP20</t>
  </si>
  <si>
    <t>DL SLIM DN155 12W/6500K WT IP20</t>
  </si>
  <si>
    <t>DL SLIM DN210 18W/3000K WT IP20</t>
  </si>
  <si>
    <t>DL SLIM DN210 18W/4000K WT IP20</t>
  </si>
  <si>
    <t>DL SLIM DN210 18W/6500K WT IP20</t>
  </si>
  <si>
    <t>DL SLIM FRAME DN105 WT</t>
  </si>
  <si>
    <t>DL SLIM FRAME DN155 WT</t>
  </si>
  <si>
    <t>DL SLIM FRAME DN210 WT</t>
  </si>
  <si>
    <t>IP65/IP20</t>
  </si>
  <si>
    <t xml:space="preserve">SP CBO RING ADJ ROUND BK           </t>
  </si>
  <si>
    <t xml:space="preserve">SP CBO RING ADJ ROUND BN           </t>
  </si>
  <si>
    <t xml:space="preserve">SP CBO RING ADJ SQUARE BK          </t>
  </si>
  <si>
    <t xml:space="preserve">SP CBO RING ADJ SQUARE BN          </t>
  </si>
  <si>
    <t xml:space="preserve">SP CBO RING ADJ SQUARE WT          </t>
  </si>
  <si>
    <t xml:space="preserve">SP CBO RING FIX ROUND BK           </t>
  </si>
  <si>
    <t xml:space="preserve">SP CBO RING FIX ROUND BN           </t>
  </si>
  <si>
    <t xml:space="preserve">SP CBO RING FIX SQUARE BK          </t>
  </si>
  <si>
    <t xml:space="preserve">SP CBO RING FIX SQUARE BN          </t>
  </si>
  <si>
    <t xml:space="preserve">SP CBO RING FIX SQUARE WT          </t>
  </si>
  <si>
    <t>SPOT VARIO</t>
  </si>
  <si>
    <t>SPOT VARIO DN170 35W/3000K 24DEG WT</t>
  </si>
  <si>
    <t>SPOT VARIO DN170 35W/4000K 24DEG WT</t>
  </si>
  <si>
    <t>SPOT MULTI</t>
  </si>
  <si>
    <t>SPOT MULTI 1 x 30W/3000K FL WT/BK</t>
  </si>
  <si>
    <t>SPOT MULTI 1 x 30W/4000K FL WT/BK</t>
  </si>
  <si>
    <t>SPOT MULTI 2 x 30W/3000K FL WT/BK</t>
  </si>
  <si>
    <t>SPOT MULTI 2 x 30W/4000K FL WT/BK</t>
  </si>
  <si>
    <t>SPOT AIR</t>
  </si>
  <si>
    <t>IP23/IP20</t>
  </si>
  <si>
    <t>SP RING D100 WT</t>
  </si>
  <si>
    <t>SP RING D100 BK</t>
  </si>
  <si>
    <t>SP RING D133 WT</t>
  </si>
  <si>
    <t>SP RING D133 BK</t>
  </si>
  <si>
    <t>SP RING D180 WT</t>
  </si>
  <si>
    <t>SP RING D180 BK</t>
  </si>
  <si>
    <t>SP HOLDER DN68 H65</t>
  </si>
  <si>
    <t>CONNECTOR BOX 3POLE L/N/E</t>
  </si>
  <si>
    <t>Driver</t>
  </si>
  <si>
    <t>SP DRIVER DALI 8W</t>
  </si>
  <si>
    <t>SPOT KIT</t>
  </si>
  <si>
    <t>TRACKLIGHT SPOT</t>
  </si>
  <si>
    <t>TRACK SP D75 25W/3000K 90RA NFL WT</t>
  </si>
  <si>
    <t>TRACK SP D75 25W/4000K 90RA NFL WT</t>
  </si>
  <si>
    <t>TRACK SP D85 35W/3000K 90RA NFL WT</t>
  </si>
  <si>
    <t>TRACK SP D85 35W/4000K 90RA NFL WT</t>
  </si>
  <si>
    <t>TRACK SP D95 55W/3000K 90RA NFL WT</t>
  </si>
  <si>
    <t>TRACK SP D95 55W/4000K 90RA NFL WT</t>
  </si>
  <si>
    <t>TRACK SP D75 25W/3000K 90RA NFL BK</t>
  </si>
  <si>
    <t>TRACK SP D75 25W/4000K 90RA NFL BK</t>
  </si>
  <si>
    <t>TRACK SP D85 35W/3000K 90RA NFL BK</t>
  </si>
  <si>
    <t>TRACK SP D85 35W/4000K 90RA NFL BK</t>
  </si>
  <si>
    <t>TRACK SP D95 55W/3000K 90RA NFL BK</t>
  </si>
  <si>
    <t>TRACK SP D95 55W/4000K 90RA NFL BK</t>
  </si>
  <si>
    <t>TRACK SP D75 25W/3000K 90RA NFL GY</t>
  </si>
  <si>
    <t>TRACK SP D75 25W/4000K 90RA NFL GY</t>
  </si>
  <si>
    <t>TRACK SP D85 35W/3000K 90RA NFL GY</t>
  </si>
  <si>
    <t>TRACK SP D85 35W/4000K 90RA NFL GY</t>
  </si>
  <si>
    <t>TRACK SP D95 55W/3000K 90RA NFL GY</t>
  </si>
  <si>
    <t>TRACK SP D95 55W/4000K 90RA NFL GY</t>
  </si>
  <si>
    <t>TRACKLIGHT SPOT REFLECTOR</t>
  </si>
  <si>
    <t>TRACK SP REFLECTOR D75 SP</t>
  </si>
  <si>
    <t>TRACK SP REFLECTOR D75 FL</t>
  </si>
  <si>
    <t>TRACK SP REFLECTOR D85 SP</t>
  </si>
  <si>
    <t>TRACK SP REFLECTOR D85 FL</t>
  </si>
  <si>
    <t>TRACK SP REFLECTOR D95 SP</t>
  </si>
  <si>
    <t>TRACK SP REFLECTOR D95 FL</t>
  </si>
  <si>
    <t>TRACKLIGHT SPOT ZOOM DIM</t>
  </si>
  <si>
    <t>TRACK SP ZOOM D85 25W/3000K DIM 97R WT</t>
  </si>
  <si>
    <t>TRACK SP ZOOM D85 25W/4000K DIM 97R WT</t>
  </si>
  <si>
    <t>TRACK SP ZOOM D85 25W/3000K DIM 97R BK</t>
  </si>
  <si>
    <t>TRACK SP ZOOM D85 25W/4000K DIM 97R BK</t>
  </si>
  <si>
    <t>SURFACE COMPACT IK10</t>
  </si>
  <si>
    <t>IP65</t>
  </si>
  <si>
    <t xml:space="preserve">SURFACE CIRCULAR  </t>
  </si>
  <si>
    <t xml:space="preserve">SURFACE CIRCULAR SENSOR </t>
  </si>
  <si>
    <t>SURFACE CIRCULAR - ACESSÓRIOS</t>
  </si>
  <si>
    <t>SF CIRCULAR 250 Cover</t>
  </si>
  <si>
    <t>SF CIRCULAR 350 Cover</t>
  </si>
  <si>
    <t>SF CIRCULAR 400 Cover</t>
  </si>
  <si>
    <t>SF CIRC 500 Frame WT</t>
  </si>
  <si>
    <t>SF CIRC 500 Frame BK</t>
  </si>
  <si>
    <t xml:space="preserve">SURFACE SQUARE </t>
  </si>
  <si>
    <t>SF BLKH EYELID 250 WT</t>
  </si>
  <si>
    <t>SF BLKH EYELID 250 BK</t>
  </si>
  <si>
    <t>SF BLKH EYELID 300 WT</t>
  </si>
  <si>
    <t>SF BLKH EYELID 300 BK</t>
  </si>
  <si>
    <t>PANEL INDIVILED</t>
  </si>
  <si>
    <t>IP40</t>
  </si>
  <si>
    <t>PANEL INDV 600 33 W-4000 K ZBVR</t>
  </si>
  <si>
    <t>IP40/IP20</t>
  </si>
  <si>
    <t>PANEL INDIVILED® EMERGENCY</t>
  </si>
  <si>
    <t>PANEL 600 PROTECT</t>
  </si>
  <si>
    <t>PANEL PROTECT UGR19</t>
  </si>
  <si>
    <t>PANEL COMFORT P</t>
  </si>
  <si>
    <t>PANEL COMFORT P UGR19</t>
  </si>
  <si>
    <t>PANEL COMFORT P DALI VIVARES</t>
  </si>
  <si>
    <t>PANEL COMFORT P UGR19 DALI VIVARES</t>
  </si>
  <si>
    <t>PANEL COMFORT 600 CRI&gt;90</t>
  </si>
  <si>
    <t xml:space="preserve">PANEL COMFORT 1200 P </t>
  </si>
  <si>
    <t>PANEL COMPACT 600 V</t>
  </si>
  <si>
    <t>PANEL COMPACT 600 V UGR19</t>
  </si>
  <si>
    <t>PANEL COMPACT 600 V CRI 90</t>
  </si>
  <si>
    <t>PANEL COMPACT 1200x300 V</t>
  </si>
  <si>
    <t>PANEL COMPACT 1200x300 V CRI&gt;90</t>
  </si>
  <si>
    <t>PANEL COMPACT 1200x600 V</t>
  </si>
  <si>
    <t xml:space="preserve">PANEL COMPACT 1200x600 V UGR19 </t>
  </si>
  <si>
    <t>PANEL ECO</t>
  </si>
  <si>
    <t>PANEL ECO UGR19</t>
  </si>
  <si>
    <t>PANEL 600 Surface Mount Kit H50 WT (kit montagem saliente)</t>
  </si>
  <si>
    <t>PANEL 600 Surface Mount Kit H75 WT (kit montagem saliente)</t>
  </si>
  <si>
    <t>PANEL 600 Surface Mount KIT H75 BK (kit montagem saliente)</t>
  </si>
  <si>
    <t>PANEL 1200 Surface Mount Kit WT (kit montagem saliente)</t>
  </si>
  <si>
    <t>PANEL 1200 Surface Mount Kit BK (kit montagem saliente)</t>
  </si>
  <si>
    <t>PANEL 600 Surface Mount Kit H70 (kit montagem saliente)</t>
  </si>
  <si>
    <t>PANEL 1200x300 Surface Mount Kit VALUE H70 (kit montagem saliente)</t>
  </si>
  <si>
    <t>PANEL 1200x600 Surface Mount Kit VALUE (kit montagem saliente)</t>
  </si>
  <si>
    <t>PANEL Security Kit 4x (kit de segurança)  - 4 unid.</t>
  </si>
  <si>
    <t>PANEL 600 Recessed Mount Frame (moldura montagem embutida)</t>
  </si>
  <si>
    <t>PANEL 1200x300 Recessed Mount Frame (moldura montagem embutida)</t>
  </si>
  <si>
    <t>PANEL PANEL Recessed Mount Clips VALUE 4x (molas de fixação) - 4 unid.</t>
  </si>
  <si>
    <t>CONNECTOR BOX 5POLE L/N 4x (ligador repicagem) - 4 unid.</t>
  </si>
  <si>
    <t>CONNECTOR BOX 5POLE L/N/PE/D+/D- 4x (ligador repicagem DALI) - 4 unid.</t>
  </si>
  <si>
    <t>PL 1200 CABLE EXT TWIST LOCK</t>
  </si>
  <si>
    <t xml:space="preserve">PANEL D/I 1200 UGR 19 36W/3000K DALI </t>
  </si>
  <si>
    <t xml:space="preserve">PANEL D/I 1200 UGR 19 36W/4000K DALI </t>
  </si>
  <si>
    <t>PANEL D/I 1200 UGR19 36W/4000K ZBVR</t>
  </si>
  <si>
    <t>LN INDV D 1200 34W/3000K</t>
  </si>
  <si>
    <t>LN INDV D 1500 48W/3000K</t>
  </si>
  <si>
    <t>LN INDV D 1500 48W/3000K DALI</t>
  </si>
  <si>
    <t>LN INDV D 1500 48W/4000K DALI</t>
  </si>
  <si>
    <t>LN INDV D/I 1200 42W/3000K</t>
  </si>
  <si>
    <t>LN INDV D/I 1200 42W/4000K</t>
  </si>
  <si>
    <t>LN INDV D/I 1500 56W/3000K</t>
  </si>
  <si>
    <t>LN INDV D/I 1500 56W/4000K</t>
  </si>
  <si>
    <t>LN INDV D/I DALI 1200 42W/3000K</t>
  </si>
  <si>
    <t>LN INDV D/I DALI 1200 42W/4000K</t>
  </si>
  <si>
    <t>LN INDV D/I DALI 1500 56W/3000K</t>
  </si>
  <si>
    <t>LN INDV D/I DALI 1500 56W/4000K</t>
  </si>
  <si>
    <t>LN INV SUSPENSION KIT WT</t>
  </si>
  <si>
    <t>LN INV SUSPENSION WIRE</t>
  </si>
  <si>
    <t>LN INV INLINE CONNECTOR</t>
  </si>
  <si>
    <t>LN INV CORNER CONNECTOR WT</t>
  </si>
  <si>
    <t>LN INV INFILL 600 WT</t>
  </si>
  <si>
    <t>LN INV INFILL 1200 WT</t>
  </si>
  <si>
    <t>LN INV INFILL 1500 WT</t>
  </si>
  <si>
    <t>LINEAR ULTRA OUTPUT</t>
  </si>
  <si>
    <t>LINEAR ULTRA OUTPUT EMERGENCY</t>
  </si>
  <si>
    <t>LINEAR COMPACT SWITCH</t>
  </si>
  <si>
    <t>LN COMP SWITCH 1500 17W/3000K</t>
  </si>
  <si>
    <t>LN COMP SWITCH 1500 17W/4000K</t>
  </si>
  <si>
    <t>LINEAR COMPACT HIGH OUTPUT</t>
  </si>
  <si>
    <t>LINEAR COMPACT BATTEN</t>
  </si>
  <si>
    <t>TRUSYS FLEX ON/OFF</t>
  </si>
  <si>
    <t>TRUSYS FLEX DALI</t>
  </si>
  <si>
    <t>TRUSYS FLEX EMERGENCY</t>
  </si>
  <si>
    <t>TRUSYS FLEX RAIL</t>
  </si>
  <si>
    <t>TRUSYS FLEX P RAIL 1500 5P WT</t>
  </si>
  <si>
    <t>TRUSYS FLEX P RAIL 3000 5P WT</t>
  </si>
  <si>
    <t xml:space="preserve">TRUSYS FLEX P RAIL 600 8P WT       </t>
  </si>
  <si>
    <t>TRUSYS FLEX P RAIL 1500 8P WT</t>
  </si>
  <si>
    <t>TRUSYS FLEX P RAIL 3000 8P WT</t>
  </si>
  <si>
    <t>TRUSYS FLEX P RAIL 1500 5P END WT</t>
  </si>
  <si>
    <t xml:space="preserve">TRUSYS FLEX P RAIL 600 8P END WT   </t>
  </si>
  <si>
    <t>TRUSYS FLEX P RAIL 1500 8P END WT</t>
  </si>
  <si>
    <t>TRUSYS FLEX - ACESSÓRIOS</t>
  </si>
  <si>
    <t>TRUSYS FLEX SUSPENSION KIT (kit suspensão) (saco 2 unid.)</t>
  </si>
  <si>
    <t>TRUSYS FLEX CHAIN KIT (kit para corrente) (saco 2 unid.)</t>
  </si>
  <si>
    <t xml:space="preserve">TRUSYS FLEX BLIND COVER 600 WT     </t>
  </si>
  <si>
    <t>TRUSYS FLEX BLIND COVER 1500 WT (tampa cega)</t>
  </si>
  <si>
    <t xml:space="preserve">TRUSYS FLEX SENSOR TRACK 600 8P WT </t>
  </si>
  <si>
    <t>TRUSYS FLEX SENSOR TRACK 1500 8P WT</t>
  </si>
  <si>
    <t xml:space="preserve">TRUSYS FLEX T5 TRACK ST WT         </t>
  </si>
  <si>
    <t xml:space="preserve">TRUSYS FLEX T5 TRACK DT WT         </t>
  </si>
  <si>
    <t>TRUSYS FLEX END CAP RAIL WT (topos finais) (saco 2 unid.)</t>
  </si>
  <si>
    <t>TRUSYS FLEX SURFACE CLIP (clip montagem fixa) (saco 2 unid.)</t>
  </si>
  <si>
    <t>TRUSYS FLEX GRID CEILING CLIP (clip montagem teto) (saco 2 unid.)</t>
  </si>
  <si>
    <t>TRUSYS FLEX FEED IN 5P (ligador entrada 5P)</t>
  </si>
  <si>
    <t>TRUSYS FLEX FEED IN 8P  (ligador entrada 8P)</t>
  </si>
  <si>
    <t>TRUSYS FLEX FEED IN BOX 5P WT</t>
  </si>
  <si>
    <t>TRUSYS FLEX FEED IN BOX 8P WT</t>
  </si>
  <si>
    <t>TRUSYS FLEX FEED OUT BOX 5P WT</t>
  </si>
  <si>
    <t>TRUSYS FLEX FEED OUT BOX 8P WT</t>
  </si>
  <si>
    <t>TRUSYS FLEX SPOT TRACK 1500 WT</t>
  </si>
  <si>
    <t>IP66</t>
  </si>
  <si>
    <t>IP67/IP69K</t>
  </si>
  <si>
    <t>DAMP PROOF 5X THROUGHWIRING (Cablag. linha contínua 5x2,5mm2) GER 2</t>
  </si>
  <si>
    <t>DAMP PROOF VALUE</t>
  </si>
  <si>
    <t>DAMP PROOF SLIM VALUE</t>
  </si>
  <si>
    <t>DP SLIM VALUE 1200 36W/4000K IP65</t>
  </si>
  <si>
    <t>DP SLIM VALUE 1200 36W/6500K IP65</t>
  </si>
  <si>
    <t>DP SLIM VALUE 1500 50W/4000K IP65</t>
  </si>
  <si>
    <t>DP SLIM VALUE 1500 50W/6500K IP65</t>
  </si>
  <si>
    <t>DAMP PROOF ECO</t>
  </si>
  <si>
    <t>DP HOUSING DALI 1200 P 1XLAMP IP65 (s/ platine)</t>
  </si>
  <si>
    <t>DP HOUSING DALI 1200 P 2XLAMP IP65  (s/ platine)</t>
  </si>
  <si>
    <t>DP HOUSING DALI 1500 P 1XLAMP IP65  (s/ platine)</t>
  </si>
  <si>
    <t>DP HOUSING DALI 1500 P 2XLAMP IP65  (s/ platine)</t>
  </si>
  <si>
    <t>DP HOUSING EM 1200 P 1XLAMP IP65  (s/ platine)</t>
  </si>
  <si>
    <t>DP HOUSING EM 1200 P 2XLAMP IP65  (s/ platine)</t>
  </si>
  <si>
    <t>DP HOUSING EM 1500 P 1XLAMP IP65  (s/ platine)</t>
  </si>
  <si>
    <t>DP HOUSING EM 1500 P 2XLAMP IP65  (s/ platine)</t>
  </si>
  <si>
    <t>HB ALU REFLECTOR 87W</t>
  </si>
  <si>
    <t>HB ALU REFLECTOR 147 190 210W</t>
  </si>
  <si>
    <t>HB SENSOR 87 147 190W</t>
  </si>
  <si>
    <t>HB SENSOR REMOTE CONTROL 87 147 190W</t>
  </si>
  <si>
    <t>HIGH BAY COMPACT V</t>
  </si>
  <si>
    <t>HIGH BAY COMPACT V - ACESSÓRIOS</t>
  </si>
  <si>
    <t>HB COMP V BRACKET 83W</t>
  </si>
  <si>
    <t>HB COMP V BRACKET 133W</t>
  </si>
  <si>
    <t>HB COMP V BRACKET 166W</t>
  </si>
  <si>
    <t>HB COMP V BRACKET 225W</t>
  </si>
  <si>
    <t>IP23</t>
  </si>
  <si>
    <t>LB FLEX SUSPENSION KIT BT1</t>
  </si>
  <si>
    <t xml:space="preserve">LB FLEX 1200 BALL PROOF COVER      </t>
  </si>
  <si>
    <t xml:space="preserve">LB FLEX 1500 BALL PROOF COVER      </t>
  </si>
  <si>
    <t xml:space="preserve">LB FLEX ANGULATION MOUNT KIT       </t>
  </si>
  <si>
    <t>FLOODLIGHT AREA 72W/3000K BK</t>
  </si>
  <si>
    <t>FLOODLIGHT AREA 72W/4000K BK</t>
  </si>
  <si>
    <t>FLOODLIGHT AREA 105W/3000K BK</t>
  </si>
  <si>
    <t>FLOODLIGHT AREA 105W/4000K BK</t>
  </si>
  <si>
    <t>FLOODLIGHT AREA 145W/3000K BK</t>
  </si>
  <si>
    <t>FLOODLIGHT AREA 145W/4000K BK</t>
  </si>
  <si>
    <t>IP67</t>
  </si>
  <si>
    <t>SL FLEX - ACESSÓRIOS</t>
  </si>
  <si>
    <t xml:space="preserve">STREET LIGHT FLEX SPIGOT 76MM               </t>
  </si>
  <si>
    <t xml:space="preserve">STREET LIGHT FLEX REDUCTION 60 TO 42MM      </t>
  </si>
  <si>
    <t>SL AREA SPD SM V 30W740 RV20ST GY</t>
  </si>
  <si>
    <t>SL AREA SPD LA V 120W727 RV35ST GY</t>
  </si>
  <si>
    <t>SL AREA SPD LA V 120W730 RV35ST GY</t>
  </si>
  <si>
    <t>SL AREA SPD LA V 120W740 RV35ST GY</t>
  </si>
  <si>
    <t>SL AREA SPD LA V 120W765 RV35ST GY</t>
  </si>
  <si>
    <t>SL AREA SPD XL V 150W727 RV35ST GY</t>
  </si>
  <si>
    <t>SL AREA SPD XL V 150W730 RV35ST GY</t>
  </si>
  <si>
    <t>SL AREA SPD XL V 150W740 RV35ST GY</t>
  </si>
  <si>
    <t>SL AREA SPD XL V 150W765 RV35ST GY</t>
  </si>
  <si>
    <t>STREETLIGHT AREA - ACESSÓRIOS</t>
  </si>
  <si>
    <t>SL AREA REDUCTION</t>
  </si>
  <si>
    <t>ECO AREA MID-POWER</t>
  </si>
  <si>
    <t>ECO AREA  - ACESSÓRIOS</t>
  </si>
  <si>
    <t xml:space="preserve">AREA 42/60 POLE REDUCTION </t>
  </si>
  <si>
    <t>AREA 48/60 ADJUST ANGLE ADAPTER</t>
  </si>
  <si>
    <t>EMERGENCY CONVERSION BOX</t>
  </si>
  <si>
    <t>EMERGENCY CONVERSION BOX Conversion Box</t>
  </si>
  <si>
    <t>Vivares</t>
  </si>
  <si>
    <t xml:space="preserve">VIVARES ZIGBEE </t>
  </si>
  <si>
    <t xml:space="preserve">VIVARES ZB CONTROL </t>
  </si>
  <si>
    <t>VIVARES ZB L/O SENS 220-240</t>
  </si>
  <si>
    <t>VIVARES ZB O SENS 220-240</t>
  </si>
  <si>
    <t>VIVARES ZB COUPLER</t>
  </si>
  <si>
    <t>HCL</t>
  </si>
  <si>
    <t>BIOLUX HCL  DALI</t>
  </si>
  <si>
    <t>IP20/IP20</t>
  </si>
  <si>
    <t>BIOLUX HCL  ZIGBEE</t>
  </si>
  <si>
    <t>BIOLUX HCL CONTROL UNIT S ZB</t>
  </si>
  <si>
    <t>IP00</t>
  </si>
  <si>
    <t>FITAS LED</t>
  </si>
  <si>
    <t>Fitas LED</t>
  </si>
  <si>
    <t>Fita Led LS SUP-2000/TW/927-965/5 (rolo de 5m - 21,6W/m)</t>
  </si>
  <si>
    <t>Fita Led LS SUP-2000/TW/927-965/5/IP67 (rolo de 5m - 21,6W/m)</t>
  </si>
  <si>
    <t>Fita Led LS PFM-1000/COB/927/5 (rolo de 5m - 11W/m)</t>
  </si>
  <si>
    <t>Fita Led LS PFM-1000/COB/930/5 (rolo de 5m - 11W/m)</t>
  </si>
  <si>
    <t>Fita Led LS PFM-1000/COB/940/5 (rolo de 5m - 11W/m)</t>
  </si>
  <si>
    <t>Fita Led LS PFM-1000/COB/965/5 (rolo de 5m - 11W/m)</t>
  </si>
  <si>
    <t>Fita Led LS P-500/927/5 (rolo de 5m - 4,2W/m)</t>
  </si>
  <si>
    <t>Fita Led LS P-500/930/5 (rolo de 5m - 4,2W/m)</t>
  </si>
  <si>
    <t>Fita Led LS P-500/940/5 (rolo de 5m - 4,2W/m)</t>
  </si>
  <si>
    <t>Fita Led LS P-500/965/5 (rolo de 5m - 4,2W/m)</t>
  </si>
  <si>
    <t>Fita Led LS P-1000/927/5 (rolo de 5m - 8,6W/m)</t>
  </si>
  <si>
    <t>Fita Led LS P-1000/930/5 (rolo de 5m - 8,6W/m)</t>
  </si>
  <si>
    <t>Fita Led LS P-1000/940/5 (rolo de 5m - 8,6W/m)</t>
  </si>
  <si>
    <t>Fita Led LS P-1000/965/5 (rolo de 5m - 8,6W/m)</t>
  </si>
  <si>
    <t>Fita Led LS P-1500/927/5  (rolo de 5m - 12W/m)</t>
  </si>
  <si>
    <t>Fita Led LS P-1500/930/5 (rolo de 5m - 12W/m)</t>
  </si>
  <si>
    <t>Fita Led LS P-1500/940/5 (rolo de 5m - 12W/m)</t>
  </si>
  <si>
    <t>Fita Led LS P-1500/965/5 (rolo de 5m - 12W/m)</t>
  </si>
  <si>
    <t>Fita Led LS P-2000/927/5 (rolo de 5m - 15,6W/m)</t>
  </si>
  <si>
    <t>Fita Led LS P-2000/930/5(rolo de 5m - 15,6W/m)</t>
  </si>
  <si>
    <t>Fita Led LS P-2000/940/5 (rolo de 5m - 15,6W/m)</t>
  </si>
  <si>
    <t>Fita Led LS P-2000/965/5 (rolo de 5m - 15,6W/m)</t>
  </si>
  <si>
    <t>Fita Led LS P-500/927/5/IP67 (rolo de 5m - 4,2W/m)</t>
  </si>
  <si>
    <t>Fita Led LS P-500/930/5/IP67 (rolo de 5m - 4,2W/m)</t>
  </si>
  <si>
    <t>Fita Led LS P-500/940/5/IP67 (rolo de 5m - 4,2W/m)</t>
  </si>
  <si>
    <t>Fita Led LS P-500/965/5/IP67 (rolo de 5m - 4,2W/m)</t>
  </si>
  <si>
    <t>Fita Led LS P-1000/927/5/IP67 (rolo de 5m - 8,6W/m)</t>
  </si>
  <si>
    <t>Fita Led LS P-1000/930/5/IP67 (rolo de 5m - 8,6W/m)</t>
  </si>
  <si>
    <t>Fita Led LS P-1000/940/5/IP67 (rolo de 5m - 8,6W/m)</t>
  </si>
  <si>
    <t>Fita Led LS P-1000/965/5/IP67 (rolo de 5m - 8,6W/m)</t>
  </si>
  <si>
    <t>Fita Led LS P-2000/927/5/IP67 (rolo de 5m - 15,6W/m)</t>
  </si>
  <si>
    <t>Fita Led LS P-2000/930/5/IP67 (rolo de 5m - 15,6W/m)</t>
  </si>
  <si>
    <t>Fita Led LS P-2000/940/5/IP67 (rolo de 5m - 15,6W/m)</t>
  </si>
  <si>
    <t>Fita Led LS P-2000/965/5/IP67 (rolo de 5m - 15,6W/m)</t>
  </si>
  <si>
    <t>Fita Led LS V-500/827/5  (rolo de 5m - 5W/m)</t>
  </si>
  <si>
    <t>Fita Led LS V-500/830/5  (rolo de 5m - 5W/m)</t>
  </si>
  <si>
    <t>Fita Led LS V-500/840/5  (rolo de 5m - 5W/m)</t>
  </si>
  <si>
    <t>Fita Led LS V-500/865/5  (rolo de 5m - 5W/m)</t>
  </si>
  <si>
    <t>Fita Led LS V-1000/827/5  (rolo de 5m - 9W/m)</t>
  </si>
  <si>
    <t>Fita Led LS V-1000/830/5  (rolo de 5m - 9W/m)</t>
  </si>
  <si>
    <t>Fita Led LS V-1000/840/5  (rolo de 5m - 9W/m)</t>
  </si>
  <si>
    <t>Fita Led LS V-1000/865/5 (rolo de 5m - 9W/m)</t>
  </si>
  <si>
    <t>Fita Led LS V-1500/827/5  (rolo de 5m - 13,2W/m)</t>
  </si>
  <si>
    <t>Fita Led LS V-1500/830/5 (rolo de 5m - 13,2W/m)</t>
  </si>
  <si>
    <t>Fita Led LS V-1500/840/5 (rolo de 5m - 13,2W/m)</t>
  </si>
  <si>
    <t>Fita Led LS V-1500/865/5 (rolo de 5m - 13,2W/m)</t>
  </si>
  <si>
    <t>Fita Led LS V-2000/827/5 (rolo de 5m - 16W/m)</t>
  </si>
  <si>
    <t>Fita Led LS V-2000/830/5 (rolo de 5m - 16W/m)</t>
  </si>
  <si>
    <t>Fita Led LS V-2000/840/5 (rolo de 5m - 16W/m)</t>
  </si>
  <si>
    <t>Fita Led LS V-2000/865/5 (rolo de 5m - 16W/m)</t>
  </si>
  <si>
    <t>Fita Led LS V-500/827/5/IP66  (rolo de 5m - 5W/m)</t>
  </si>
  <si>
    <t>Fita Led LS V-500/830/5/IP66 (rolo de 5m - 5W/m)</t>
  </si>
  <si>
    <t>Fita Led LS V-500/840/5/IP66 (rolo de 5m - 5W/m)</t>
  </si>
  <si>
    <t>Fita Led LS V-500/865/5/IP66  (rolo de 5m - 5W/m)</t>
  </si>
  <si>
    <t>Fita Led LS V-1000/827/5/IP66  (rolo de 5m - 9W/m)</t>
  </si>
  <si>
    <t>Fita Led LS V-1000/830/5/IP66  (rolo de 5m - 9W/m)</t>
  </si>
  <si>
    <t>Fita Led LS V-1000/840/5/IP66  (rolo de 5m - 9W/m)</t>
  </si>
  <si>
    <t>Fita Led LS V-1000/865/5/IP66 (rolo de 5m - 9W/m)</t>
  </si>
  <si>
    <t>Fita Led LS V-1500/827/5/IP66 (rolo de 5m - 13,2W/m)</t>
  </si>
  <si>
    <t>Fita Led LS V-1500/830/5/IP66 (rolo de 5m - 13,2W/m)</t>
  </si>
  <si>
    <t>Fita Led LS V-1500/840/5/IP66 (rolo de 5m - 13,2W/m)</t>
  </si>
  <si>
    <t>Fita Led LS V-1500/865/5/IP66 (rolo de 5m - 13,2W/m)</t>
  </si>
  <si>
    <t>Fita Led LS V-2000/827/5/IP66 (rolo de 5m - 16W/m)</t>
  </si>
  <si>
    <t>Fita Led LS V-2000/830/5/IP66 (rolo de 5m - 16W/m)</t>
  </si>
  <si>
    <t>Fita Led LS V-2000/840/5/IP66 (rolo de 5m - 16W/m)</t>
  </si>
  <si>
    <t>Fita Led LS V-2000/865/5/IP66 (rolo de 5m - 16W/m)</t>
  </si>
  <si>
    <t>Fita Led LS VAL-500/RGB/5   (rolo de 5m - 14,4W/m)</t>
  </si>
  <si>
    <t>Fita Led LS VAL-500/RGB/5/IP65  (rolo de 5m - 14,4W/m)</t>
  </si>
  <si>
    <t>LED STRIP VALUE CLASS - Rolos de 30 e 50 metros</t>
  </si>
  <si>
    <t>Fita Led LS VAL-600/830/50 (rolo de 50m - 6,1 W/m)</t>
  </si>
  <si>
    <t>Fita Led LS VAL-600/840/50 (rolo de 50m - 6,1 W/m)</t>
  </si>
  <si>
    <t>Fita Led LS VAL-600/865/50 (rolo de 50m - 6,1 W/m)</t>
  </si>
  <si>
    <t>Fita Led LS VAL-1400/830/50 (rolo de 50m - 13,2 W/m)</t>
  </si>
  <si>
    <t>Fita Led LS VAL-1400/840/50 (rolo de 50m - 13,2 W/m)</t>
  </si>
  <si>
    <t>Fita Led LS VAL-1400/865/50 (rolo de 50m - 13,2 W/m)</t>
  </si>
  <si>
    <t>Fita Led LS VAL-600/830/30/IP65 (rolo de 30m - 6,1W/m)</t>
  </si>
  <si>
    <t>Fita Led LS VAL-600/840/30/IP65 (rolo de 30m - 6,1W/m)</t>
  </si>
  <si>
    <t>Fita Led LS VAL-600/865/30/IP65 (rolo de 30m - 6,1W/m)</t>
  </si>
  <si>
    <t>Fita Led LS VAL-1400/830/30/IP65 (rolo de 30m - 13,2 W/m)</t>
  </si>
  <si>
    <t>Fita Led LS VAL-1400/840/30/IP65 (rolo de 30m - 13,2 W/m)</t>
  </si>
  <si>
    <t>Fita Led LS VAL-1400/865/30/IP65 (rolo de 30m - 13,2 W/m)</t>
  </si>
  <si>
    <t>Acess. Fitas Led</t>
  </si>
  <si>
    <t>Controlador LC RF CONTROL 24V ­RGBW/TW</t>
  </si>
  <si>
    <t>Comando LC RF REMOTE TW</t>
  </si>
  <si>
    <t>Comando LC RF REMOTE RGBW</t>
  </si>
  <si>
    <t>Ligador Fita-Driver LED Strip Superior Connectors-CSD/P3 (2 unid.)</t>
  </si>
  <si>
    <t>Ligador Fita-Fita LED Strip Superior Connectors-CSD/P3 (2 unid.)</t>
  </si>
  <si>
    <t>Ligador Fita-Fita LED Strip Superior Connectors-CSW/P3/50 (50mm) (2 unid.)</t>
  </si>
  <si>
    <t>Ligador Fita-Driver  LED Strip Superior Connectors-CP/P3/500/P (2 unid.)</t>
  </si>
  <si>
    <t>Ligador Fita-Fita LED Strip Superior Connectors-CSD/P3/P (2 unid.)</t>
  </si>
  <si>
    <t>Ligador Fita-Fita LED Strip Superior Connectors-CSW/P3/50/P (50mm) (2 unid.)</t>
  </si>
  <si>
    <t xml:space="preserve">Ligador Fita-Driver  LS AY PFM -CP/P2/500/COB  (2 unid.)    </t>
  </si>
  <si>
    <t>Ligador Fita-Fita LS AY PFM -CSW/P2/50/COB (50mm)  (2 unid.)</t>
  </si>
  <si>
    <t>Ligador Fita-Fita LS AY PFM -CSD/P2/COB  (2 unid.)</t>
  </si>
  <si>
    <t>Ligador Fita-Driver LS AY-CP/P2/500 (2 unid.)</t>
  </si>
  <si>
    <t>Ligador Fita-Driver LS AY-CP/P2/500/P (2 unid.)</t>
  </si>
  <si>
    <t>Ligador Fita-Fita LS AY-CSD/P2 (2 unid.)</t>
  </si>
  <si>
    <t>Ligador Fita-Fita LS AY-CSD/P2/P (2 unid.)</t>
  </si>
  <si>
    <t>Ligador Fita-Fita LS AY-CSW/P2/50  (50mm) (2 unid.)</t>
  </si>
  <si>
    <t>Ligador Fita-Fita  LS AY-CSW/P2/50/P (50mm) (2 unid.)</t>
  </si>
  <si>
    <t>Ligador Fita-Driver LED Strip PerformLedvance Connectors-CP/P5/500 (2 unid.)</t>
  </si>
  <si>
    <t>Ligador Fita-Fita LED Strip PerformLedvance Connectors-CSD/P5 (2 unid.)</t>
  </si>
  <si>
    <t>Ligador Fita-Fita LED Strip PerformLedvance Connectors-CSW/P5/50  (50mm) (2 unid.)</t>
  </si>
  <si>
    <t>Ligador Fita-Driver  LED Strip AY PFM-CP/P5/500P (2 unid.)</t>
  </si>
  <si>
    <t>Ligador Fita-Fita LED Strip AY PFM- CSD/P5/P (2 unid.)</t>
  </si>
  <si>
    <t>Ligador Fita-Fita LED Strip Ay PFM-CSW/P5/50/P (50mm) (2 unid.)</t>
  </si>
  <si>
    <t>Ligador Fita-Driver  LED Strip Value Connectors-CP/P5/500 (2 unid.)</t>
  </si>
  <si>
    <t>Ligador Fita-Fita LED Strip Value Connectors-CSD/P5 (2 unid.)</t>
  </si>
  <si>
    <t>Ligador Fita-FitaLED Strip Value Connectors-CSW/P5/50 (50mm) (2 unid.)</t>
  </si>
  <si>
    <t>Ligador Fita-Driver  LS AY VAL-CP/P4/500/P (2 unid.)</t>
  </si>
  <si>
    <t>Ligador Fita-Fita LS AY VAL-CSD/P4/P (2 unid.)</t>
  </si>
  <si>
    <t>Ligador Fita-Fita LS AY VAL-CSW/P4/50/P (50mm) (2 unid.)</t>
  </si>
  <si>
    <t>Topos de silicone LS AY VAL-SE/P + SILICONE SEAL - RGB (4 unid.)</t>
  </si>
  <si>
    <t>Topos de silicone LS AY-10/SE SILICONSEAL - PROTECT  (4 unid.)</t>
  </si>
  <si>
    <t>Clip de Montagem LED Strip Value Mounting Bracket-12/SMB (2 unid.)</t>
  </si>
  <si>
    <t>Clip de Montagem LED Strip Superior Mounting Bracket-12/SMB (2 unid.)</t>
  </si>
  <si>
    <t>Clip de Montagem LS AY-10/SMB/P</t>
  </si>
  <si>
    <t>Clip de Montagem LS AY-8/SMB</t>
  </si>
  <si>
    <t>Perfil de Alumínio LS AY-PW01/U/26X8/14/1  (troço de 1mt.)</t>
  </si>
  <si>
    <t>Perfil de Alumínio LS AY-PW01/U/26X8/14/2 (troço de 2mts.)</t>
  </si>
  <si>
    <t>Difusor opalino para perfil LS AY-PC/W01/D/1  (troço de 1mt.)</t>
  </si>
  <si>
    <t>Difusor opalino para perfil LS AY-PC/W01/D/2 (troço de 2mts.)</t>
  </si>
  <si>
    <t>Difusor transparente para perfil LS AY-PC/W01/C/1  (troço de 1mt.)</t>
  </si>
  <si>
    <t>Difusor transparente para perfil LS AY-PC/W01/C/2 (troço de 2mts.)</t>
  </si>
  <si>
    <t>Topo s/ Perfuração para perfil  LS AY-PW01/EC (2 unid.)</t>
  </si>
  <si>
    <t>Topo c/ perfuração para perfil LS AY-PW01/EC/H (2 unid.)</t>
  </si>
  <si>
    <t>Clip de montagem  LS AY-PW01/MB (2 unid.)</t>
  </si>
  <si>
    <t>Perfil de Alumínio LS AY-PW02/UW/39X26/14/1  (troço de 1mt.)</t>
  </si>
  <si>
    <t>Perfil de Alumínio LS AY-PW02/UW/39X26/14/2 (troço de 2mts.)</t>
  </si>
  <si>
    <t>Difusor opalino para perfil LS AY-PC/W02/D/1  (troço de 1mt.)</t>
  </si>
  <si>
    <t>Difusor opalino para perfil LS AY-PC/W02/D/2 (troço de 2mts.)</t>
  </si>
  <si>
    <t>Difusor transparente para perfil LS AY-PC/W02/C/1 (troço de 1mt.)</t>
  </si>
  <si>
    <t>Difusor transparente para perfil LS AY-PC/W02/C/2 (troço de 2mts.)</t>
  </si>
  <si>
    <t>Topo s/ Perfuração para perfil LS AY-PW02/EC (2 unid.)</t>
  </si>
  <si>
    <t>Topo c/ perfuração para perfil LS AY-PW02/EC/H (2 unid.)</t>
  </si>
  <si>
    <t>Clip de montagem  LS AY-PW02/MB (2 unid.)</t>
  </si>
  <si>
    <t>Perfil de Alumínio LS AY-PW03/U/26X26/14/1  (troço de 1mt.)</t>
  </si>
  <si>
    <t>Perfil de Alumínio LS AY-PW03/U/26X26/14/2 (troço de 2mts.)</t>
  </si>
  <si>
    <t>Topo s/ Perfuração para perfil  LS AY-PW03/EC (2 unid.)</t>
  </si>
  <si>
    <t>Topo c/ perfuração para perfil LS AY-PW03/EC/H (2 unid.)</t>
  </si>
  <si>
    <t>Clip de montagem  LS AY-PW03/MB (2 unid.)</t>
  </si>
  <si>
    <t>Perfil de Alumínio LS AY-PF01/UW/22X6/10/1 (troço de 1mt.)</t>
  </si>
  <si>
    <t>Perfil de Alumínio LS AY-PF01/UW/22X6/10/2 (troço de 2mts.)</t>
  </si>
  <si>
    <t>Difusor opalino para perfil LS AY-PC/P02/D/1  (troço de 1mt.)</t>
  </si>
  <si>
    <t>Difusor opalino para perfil LS AY-PC/P02/D/2(troço de 2mts.)</t>
  </si>
  <si>
    <t>Difusor transparente para perfil LS AY-PC/P02/C/1  (troço de 1mt.)</t>
  </si>
  <si>
    <t>Difusor transparente para perfil LS AY-PC/P02/C/2 (troço de 2mts.)</t>
  </si>
  <si>
    <t>Topo s/ Perfuração para perfil  LS AY-PF01/EC (2 unid.)</t>
  </si>
  <si>
    <t>Topo c/ perfuração para perfil LS AY-PF01/EC/H (2 unid.)</t>
  </si>
  <si>
    <t>Clip de montagem  LS AY-PF01/MB (2 unid.)</t>
  </si>
  <si>
    <t>Perfil de Alumínio LS AY-PF02/U/16X5/10/1 (troço de 1mt.)</t>
  </si>
  <si>
    <t>Perfil de Alumínio LS AY-PF02/U/16X5/10/2 (troço de 2mts.)</t>
  </si>
  <si>
    <t>Difusor opalino para perfil LS AY-PC/P01/D/1 (troço de 1mt.)</t>
  </si>
  <si>
    <t>Difusor opalino para perfil LS AY-PC/P01/D/2 (troço de 2mts.)</t>
  </si>
  <si>
    <t>Difusor transparente para perfil LS AY-PC/P01/C/1  (troço de 1mt.)</t>
  </si>
  <si>
    <t>Difusor transparente para perfil LS AY-PC/P01/C/2 (troço de 2mts.)</t>
  </si>
  <si>
    <t>Topo s/ Perfuração para perfil  LS AY-PF02/EC (2 unid.)</t>
  </si>
  <si>
    <t>Topo c/ perfuração para perfil LS AY-PF02/EC/H (2 unid.)</t>
  </si>
  <si>
    <t>Clip de montagem LS AY-PF02/MB (2 unid.)</t>
  </si>
  <si>
    <t>Perfil de Alumínio LS AY-PF03/UW/25X7/12/1  (troço de 1mt.)</t>
  </si>
  <si>
    <t>Perfil de Alumínio LS AY-PF03/UW/25X7/12/2 (troço de 2mts.)</t>
  </si>
  <si>
    <t>Difusor opalino para perfil LS AY-PC/R01/D/1  (troço de 1mt.)</t>
  </si>
  <si>
    <t>Difusor opalino para perfil LS AY-PC/R01/D/2(troço de 2mts.)</t>
  </si>
  <si>
    <t>Difusor transparente para perfil LS AY-PC/R01/C/1  (troço de 1mt.)</t>
  </si>
  <si>
    <t>Difusor transparente para perfil LS AY-PC/R01/C/2 (troço de 2mts.)</t>
  </si>
  <si>
    <t>Topo s/ Perfuração para perfil  LS AY-PF03/EC (2 unid.)</t>
  </si>
  <si>
    <t>Topo c/ perfuração para perfil LS AY-PF03/EC/H (2 unid.)</t>
  </si>
  <si>
    <t>Clip de montagem  LS AY-PF03/MB (2 unid.)</t>
  </si>
  <si>
    <t>Perfil de Alumínio  LS AY-PF04/U/17X7/12/1  (troço de 1mt.)</t>
  </si>
  <si>
    <t>Perfil de Alumínio  LS AY-PF04/U/17X7/12/2 (troço de 2mts.)</t>
  </si>
  <si>
    <t>Topo s/ Perfuração para perfil  LS AY-PF04/EC (2 unid.)</t>
  </si>
  <si>
    <t>Topo c/ perfuração para perfil LS AY-PF04/EC/H(2 unid.)</t>
  </si>
  <si>
    <t>Clip de montagem  LS AY-PF04/MB (2 unid.)</t>
  </si>
  <si>
    <t>Perfil de Alumínio LS AY-PM01/UW/21,5X12/10/1 (troço de 1mt.)</t>
  </si>
  <si>
    <t xml:space="preserve">Perfil de Alumínio LS AY-PM01/UW/21,5X12/10/2 (troço de 2mts.) </t>
  </si>
  <si>
    <t>Topo s/ Perfuração para perfil  LS AY-PM01/EC (2 unid.)</t>
  </si>
  <si>
    <t>Topo c/ Perfuração para perfil  LS AY-PM01/EC/H (2 unid.)</t>
  </si>
  <si>
    <t>Clip de montagem  LS AY-PM01/MB (2 unid.)</t>
  </si>
  <si>
    <t>Perfil de Alumínio LS AY-PM04/UW/23X15,5/10/1  (troço de 1mt.)</t>
  </si>
  <si>
    <t>Perfil de Alumínio LS AY-PM04/UW/23X15,5/10/2 (troço de 2mts.)</t>
  </si>
  <si>
    <t>Difusor opalino para perfil LS AY-PC/R02/D/1  (troço de 1mt.)</t>
  </si>
  <si>
    <t>Difusor opalino para perfil LS AY-PC/R02/D/2 (troço de 2mts.)</t>
  </si>
  <si>
    <t>Difusor transparente para perfil LS AY-PC/R02/C/1  (troço de 1mt.)</t>
  </si>
  <si>
    <t>Difusor transparente para perfil LS AY-PC/R02/C/2 (troço de 2mts.)</t>
  </si>
  <si>
    <t>Topo s/ Perfuração para perfil  LS AY-PM04/EC (2 unid.)</t>
  </si>
  <si>
    <t>Topo c/ perfuração para perfil LS AY-PM04/EC/H (2 unid.)</t>
  </si>
  <si>
    <t>Clip de montagem  LS AY-PM04/MB (2 unid.)</t>
  </si>
  <si>
    <t>Perfil de Alumínio LS AY-PM05/U/17,5X14,5/10/1 (troço de 1mt.)</t>
  </si>
  <si>
    <t>Perfil de Alumínio LS AY-PM05/U/17,5X14,5/10/2 (troço de 2mts.)</t>
  </si>
  <si>
    <t>Topo s/ Perfuração para perfil  LS AY-PM05/EC (2 unid.)</t>
  </si>
  <si>
    <t>Topo c/ perfuração para perfil LS AY-PM05/EC/H (2 unid.)</t>
  </si>
  <si>
    <t>Clip de montagem  LS AY-PM05/MB (2 unid.)</t>
  </si>
  <si>
    <t>Perfil de Alumínio  LS AY-PM02/R/18X15,5/10/1  (troço de 1mt.)</t>
  </si>
  <si>
    <t>Perfil de Alumínio LS AY-PM02/R/18X15,5/10/2 (troço de 2mts.)</t>
  </si>
  <si>
    <t>Topo s/ Perfuração para perfil  LS AY-PM02/EC (2 unid.)</t>
  </si>
  <si>
    <t>Topo c/ perfuração para perfil LS AY-PM02/EC/H (2 unid.)</t>
  </si>
  <si>
    <t>Clip de montagem  LS AY-PM02/MB (2 unid.)</t>
  </si>
  <si>
    <t>Perfil de Alumínio LS AY-PM03/E/19X19/10/1  (troço de 1mt.)</t>
  </si>
  <si>
    <t>Perfil de Alumínio LS AY-PM03/E/19X19/10/2 (troço de 2mts.)</t>
  </si>
  <si>
    <t>Topo s/ Perfuração para perfil  LS AY-PM03/EC (2 unid.)</t>
  </si>
  <si>
    <t>Topo c/ perfuração para perfil LS AY-PM03/EC/H (2 unid.)</t>
  </si>
  <si>
    <t>Clip de montagem  LS AY-PM03/MB (2 unid.)</t>
  </si>
  <si>
    <t>Perfil de Alumínio LS AY-PM06/E/18X18/12/1  (troço de 1mt.)</t>
  </si>
  <si>
    <t>Perfil de Alumínio LS AY-PM06/E/18X18/12/2 (troço de 2mts.)</t>
  </si>
  <si>
    <t>Topo s/ Perfuração para perfil  LS AY-PM06/EC (2 unid.)</t>
  </si>
  <si>
    <t>Topo c/ perfuração para perfil LS AY-PM06/EC/H (2 unid.)</t>
  </si>
  <si>
    <t>Clip de montagem  LS AY-PM06/MB (2 unid.)</t>
  </si>
  <si>
    <t>Driver DR DALI-SUP-45/220-240/24</t>
  </si>
  <si>
    <t>Driver DR DALI-SUP-80/220-240/24</t>
  </si>
  <si>
    <t>Driver DR DALI-SUP-150/220-240/24</t>
  </si>
  <si>
    <t>Driver DR-SUP-30/220-240/24</t>
  </si>
  <si>
    <t>Driver DR-SUP-60/220-240/24</t>
  </si>
  <si>
    <t>Driver DR-SUP-100/220-240/24</t>
  </si>
  <si>
    <t>Driver DR-SUP-200/220-240/24</t>
  </si>
  <si>
    <t>Driver DR DIM-PFM-20/220-240/24/P</t>
  </si>
  <si>
    <t>Driver DR DIM-PFM-40/220-240/24/P</t>
  </si>
  <si>
    <t>Driver DR DIM-PFM-60/220-240/24/P</t>
  </si>
  <si>
    <t>Driver DR DIM-PFM-100/220-240/24/P</t>
  </si>
  <si>
    <t>Driver DR DIM-PFM-150/220-240/24/P</t>
  </si>
  <si>
    <t>Driver DR DIM-PFM-250/220-240/24/P</t>
  </si>
  <si>
    <t>Driver DR-PFM-30/220-240/24/P</t>
  </si>
  <si>
    <t>Driver DR-PFM-60/220-240/24/P</t>
  </si>
  <si>
    <t>Driver DR-PFM-100/220-240/24/P</t>
  </si>
  <si>
    <t>Driver DR-PFM-150/220-240/24/P</t>
  </si>
  <si>
    <t>Driver DR-PFM-250/220-240/24/P</t>
  </si>
  <si>
    <t>Driver DR-V-30/220-240/24</t>
  </si>
  <si>
    <t>Driver DR-V-60/220-240/24</t>
  </si>
  <si>
    <t>Driver DR-V-120/220-240/24</t>
  </si>
  <si>
    <t>Driver DR-V-150/220-240/24</t>
  </si>
  <si>
    <t>DRIVER LED DALI PERFORMANCE Class - para corrente constante com interface de regulação DALI</t>
  </si>
  <si>
    <t xml:space="preserve">DR DALI-PFM-26/220-240/700 </t>
  </si>
  <si>
    <t>DR DALI-PFM-44/220-240/1050</t>
  </si>
  <si>
    <t>DR DALI-PFM-60/220-240/1A4</t>
  </si>
  <si>
    <t>Acess. Driver</t>
  </si>
  <si>
    <t>DR AY ZB+DALI-CLAMP (saco 2 unid.)</t>
  </si>
  <si>
    <t>DR AY ZB+DALI-CLAMP DUO</t>
  </si>
  <si>
    <t>DR PC-PFM-13/220-240/350</t>
  </si>
  <si>
    <t>DR PC-PFM-18/220-240/350</t>
  </si>
  <si>
    <t>DR PC-PFM-25/220-240/700</t>
  </si>
  <si>
    <t>DR PC-PFM-35/220-240/700</t>
  </si>
  <si>
    <t>DR AY PC-PFM-CLAMP DUO (2 unid.)</t>
  </si>
  <si>
    <t>DR DS-P-20/220-240/500</t>
  </si>
  <si>
    <t>DR DS-P-30/220-240/700</t>
  </si>
  <si>
    <t xml:space="preserve">			DR DS-P-40/220-240/1A0
			</t>
  </si>
  <si>
    <t>DR AY DS-P- CLAMP DUO (2 unid)</t>
  </si>
  <si>
    <t>LÂMPADAS LED</t>
  </si>
  <si>
    <t>LEDVANCE LED TUBE T8 Connected  (CCG+AC Mains) - Performance Class</t>
  </si>
  <si>
    <t>Lâmpadas LED</t>
  </si>
  <si>
    <t xml:space="preserve">Azul </t>
  </si>
  <si>
    <t>IP54</t>
  </si>
  <si>
    <t>Conneted Sensor ST8 Remote Control</t>
  </si>
  <si>
    <t>LEDVANCE LED TUBE T8 EM Ultra Output (UO) Superior Class (CCG)</t>
  </si>
  <si>
    <t>LEDVANCE LED TUBE T8 EM Ultra Output (UO) CRI 90 Superior Class (CCG)</t>
  </si>
  <si>
    <t>LEDVANCE LED TUBE T8 EM Superior Class (CCG)</t>
  </si>
  <si>
    <t>LEDVANCE LED TUBE T8 EM Ultra Output (UO) Performance Class (CCG)</t>
  </si>
  <si>
    <t>LEDVANCE LED TUBE T8 EM Performance Class (CCG)</t>
  </si>
  <si>
    <t>LEDVANCE LED TUBE T8 EM Ultra Output (UO) Value Class (CCG)</t>
  </si>
  <si>
    <t>LEDVANCE LED TUBE T8 EM Value Class (CCG)</t>
  </si>
  <si>
    <t>LEDVANCE LED TUBE T8 EM Starter  (T8 LED starter de substituição para tubos a funcionar com CCG)</t>
  </si>
  <si>
    <t>LED TUBE StarterTube T8</t>
  </si>
  <si>
    <t>LEDVANCE LED TUBE T8 EM Motion Sensor Performance Class (CCG)</t>
  </si>
  <si>
    <t>LEDVANCE LED TUBE T8 EM FOOD Performance Class (CCG)</t>
  </si>
  <si>
    <t>LEDVANCE LED TUBE T5 HF SHORT  Value</t>
  </si>
  <si>
    <t>LEDVANCE LED TUBE T8 EXTERNAL P</t>
  </si>
  <si>
    <t>LEDVANCE LED TUBE  T5 EXTERNAL P</t>
  </si>
  <si>
    <t>LEDVANCE DRIVER LED TUBE EXTERNAL P</t>
  </si>
  <si>
    <t>LEDVANCE LED TUBE T9 C EM Value Class</t>
  </si>
  <si>
    <t>LEDVANCE DULUX  LED D - CCG &amp; AC mains</t>
  </si>
  <si>
    <t>HQL LED Special HQL FR 50 non-dim 14.5W/827 E27</t>
  </si>
  <si>
    <t>HQL LED Special HQL FR 50 non-dim 14.5W/840 E27</t>
  </si>
  <si>
    <t>HQL LED Special HQL FR 80 non-dim 21.5W/827 E27</t>
  </si>
  <si>
    <t>HQL LED Special HQL FR 80 non-dim 21.5W/840 E27</t>
  </si>
  <si>
    <t>HQL LED Special HQL FR 80 non-dim 29W/827 E27</t>
  </si>
  <si>
    <t>HQL LED Special HQL FR 80 non-dim 29W/840 E27</t>
  </si>
  <si>
    <t>HQL LED Special HQL FR 125 non-dim 41W/827 E27</t>
  </si>
  <si>
    <t>HQL LED Special HQL FR 125 non-dim 41W/840 E27</t>
  </si>
  <si>
    <t>HQL LED Special HQL FR 125 non-dim 41W/827 E40</t>
  </si>
  <si>
    <t>HQL LED Special HQL FR 125 non-dim 41W/840 E40</t>
  </si>
  <si>
    <t>HQL LED Special HQL CL 250 non-dim 90W/827 E40</t>
  </si>
  <si>
    <t>HQL LED Special HQL CL 250 non-dim 90W/840 E40</t>
  </si>
  <si>
    <t>HID LED Highbay UN Special HID LED Highbay UN CL 250 non-dim 105W/840 E40</t>
  </si>
  <si>
    <t>HID LED Highbay UN Special HID LED Highbay UN CL 400 non-dim 150W/840 E40</t>
  </si>
  <si>
    <t>HID LED Highbay UN Special HID LED Highbay UN CL 400 non-dim 160W/840 E40</t>
  </si>
  <si>
    <t>LED CLASSIC CRI97</t>
  </si>
  <si>
    <t>Superior Class CLASSIC A FIL 75 non-dim 5W/830 E27</t>
  </si>
  <si>
    <t>Superior Class CLASSIC A GL FR 75 non-dim 5W/830 E27</t>
  </si>
  <si>
    <t>SUPERIOR SPOT LED  ENERGY CLASS A</t>
  </si>
  <si>
    <t>CLASSIC A LED PERFORMANCE CLASS DIM CLARA</t>
  </si>
  <si>
    <t>PERFORMANCE CLASS CLASSIC A FIL 40 DIM 4.8W/827 E27</t>
  </si>
  <si>
    <t>PERFORMANCE CLASS CLASSIC A FIL 60 DIM 7W/827 B22d</t>
  </si>
  <si>
    <t>PERFORMANCE CLASS CLASSIC A FIL 60 DIM 7W/827 E27</t>
  </si>
  <si>
    <t>PERFORMANCE CLASS CLASSIC A FIL 75 DIM 7.5W/827 E27</t>
  </si>
  <si>
    <t>PERFORMANCE CLASS CLASSIC A FIL 100 DIM 11W/827 E27</t>
  </si>
  <si>
    <t>CLASSIC A LED PERFORMANCE CLASS DIM FOSCA</t>
  </si>
  <si>
    <t>PERFORMANCE CLASS CLASSIC A GL FR 40 DIM 4.8W/827 E27</t>
  </si>
  <si>
    <t>PERFORMANCE CLASS CLASSIC A GL FR 60 DIM 7W/827 E27</t>
  </si>
  <si>
    <t>PERFORMANCE CLASS CLASSIC A GL FR 60 DIM 7W/840 E27</t>
  </si>
  <si>
    <t>PERFORMANCE CLASS CLASSIC A GL FR 60 DIM 7W/827 B22d</t>
  </si>
  <si>
    <t>PERFORMANCE CLASS CLASSIC A GL FR 75 DIM 7.5W/827 E27</t>
  </si>
  <si>
    <t>PERFORMANCE CLASS CLASSIC A GL FR 75 DIM 7.5W/840 E27</t>
  </si>
  <si>
    <t>PERFORMANCE CLASS CLASSIC A GL FR 100 DIM 11W/827 E27</t>
  </si>
  <si>
    <t>PERFORMANCE CLASS CLASSIC A GL FR 150 DIM 18W/827 E27</t>
  </si>
  <si>
    <t>CLASSIC A LED PERFORMANCE CLASS NON- DIM CLARA</t>
  </si>
  <si>
    <t>PERFORMANCE CLASS CLASSIC A FIL 40 non-dim 4W/827 E27</t>
  </si>
  <si>
    <t>PERFORMANCE CLASS CLASSIC A FIL 40 non-dim 4W/840 E27</t>
  </si>
  <si>
    <t>PERFORMANCE CLASS CLASSIC A FIL 40 non-dim 4W/827 B22d</t>
  </si>
  <si>
    <t>PERFORMANCE CLASS CLASSIC A FIL 60 non-dim 6.5W/827 E27</t>
  </si>
  <si>
    <t>PERFORMANCE CLASS CLASSIC A FIL 60 non-dim 6.5W/840 E27</t>
  </si>
  <si>
    <t>PERFORMANCE CLASS CLASSIC A FIL 60 non-dim 6.5W/827 B22d</t>
  </si>
  <si>
    <t>PERFORMANCE CLASS CLASSIC A FIL 75 non-dim 7.5W/827 E27</t>
  </si>
  <si>
    <t>PERFORMANCE CLASS CLASSIC A FIL 75 non-dim 7.5W/840 E27</t>
  </si>
  <si>
    <t>PERFORMANCE CLASS CLASSIC A FIL 100 non-dim 11W/827 E27</t>
  </si>
  <si>
    <t>PERFORMANCE CLASS CLASSIC A FIL 100 non-dim 11W/840 E27</t>
  </si>
  <si>
    <t>CLASSIC A LED PERFORMANCE CLASS NON- DIM FOSCA</t>
  </si>
  <si>
    <t>PERFORMANCE CLASS CLASSIC A GL FR 40 non-dim 4W/827 E27</t>
  </si>
  <si>
    <t>PERFORMANCE CLASS CLASSIC A GL FR 40 non-dim 4W/840 E27</t>
  </si>
  <si>
    <t>PERFORMANCE CLASS CLASSIC A GL FR 40 non-dim 4W/827 B22d</t>
  </si>
  <si>
    <t>PERFORMANCE CLASS CLASSIC A GL FR 60 non-dim 6.5W/827 E27</t>
  </si>
  <si>
    <t>PERFORMANCE CLASS CLASSIC A GL FR 60 non-dim 6.5W/840 E27</t>
  </si>
  <si>
    <t>PERFORMANCE CLASS CLASSIC A GL FR 60 non-dim 6.5W/827 B22d</t>
  </si>
  <si>
    <t>PERFORMANCE CLASS CLASSIC A GL FR 75 non-dim 7.5W/827 E27</t>
  </si>
  <si>
    <t>PERFORMANCE CLASS CLASSIC A GL FR 75 non-dim 7.5W/840 E27</t>
  </si>
  <si>
    <t>PERFORMANCE CLASS CLASSIC A GL FR 100 non-dim 11W/827 E27</t>
  </si>
  <si>
    <t>PERFORMANCE CLASS CLASSIC A GL FR 150 non-dim 17W/827 E27</t>
  </si>
  <si>
    <t>PERFORMANCE CLASS CLASSIC A GL FR 150 non-dim 17W/840 E27</t>
  </si>
  <si>
    <t>PERFORMANCE CLASS CLASSIC A GL FR 200 non-dim 24W/827 E27</t>
  </si>
  <si>
    <t>PERFORMANCE CLASS CLASSIC A GL FR 200 non-dim 24W/840 E27</t>
  </si>
  <si>
    <t>CLASSIC B LED PERFORMANCE DIM CLARA</t>
  </si>
  <si>
    <t>PERFORMANCE CLASS CLASSIC B FIL 40 DIM 4.8W/827 E14</t>
  </si>
  <si>
    <t>PERFORMANCE CLASS CLASSIC B FIL 40 DIM 4.8W/827 E27</t>
  </si>
  <si>
    <t>CLASSIC B LED PERFORMANCE DIM FOSCA</t>
  </si>
  <si>
    <t>PERFORMANCE CLASS CLASSIC B GL FR 40 DIM 4.8W/827 E14</t>
  </si>
  <si>
    <t>PERFORMANCE CLASS CLASSIC B GL FR 40 DIM 4.8W/827 B22d</t>
  </si>
  <si>
    <t>CLASSIC B LED PERFORMANCE NON-DIM CLARA</t>
  </si>
  <si>
    <t>PERFORMANCE CLASS CLASSIC B FIL 25 non-dim 2.5W/827 E14</t>
  </si>
  <si>
    <t>PERFORMANCE CLASS CLASSIC B FIL 25 non-dim 2.5W/827 B22d</t>
  </si>
  <si>
    <t>PERFORMANCE CLASS CLASSIC B FIL 40 non-dim 4W/827 E14</t>
  </si>
  <si>
    <t>PERFORMANCE CLASS CLASSIC B FIL 40 non-dim 4W/827 B22d</t>
  </si>
  <si>
    <t>PERFORMANCE CLASS CLASSIC B FIL 40 non-dim 4W/827 E27</t>
  </si>
  <si>
    <t>PERFORMANCE CLASS CLASSIC B FIL 40 non-dim 4W/840 E14</t>
  </si>
  <si>
    <t>PERFORMANCE CLASS CLASSIC BA FIL 40 non-dim 4W/827 E14</t>
  </si>
  <si>
    <t>PERFORMANCE CLASS CLASSIC B FIL 60 non-dim 5.5W/827 E14</t>
  </si>
  <si>
    <t>CLASSIC B LED PERFORMANCE NON-DIM FOSCA</t>
  </si>
  <si>
    <t>PERFORMANCE CLASS CLASSIC B GL FR 25 non-dim 2.5W/827 E14</t>
  </si>
  <si>
    <t>PERFORMANCE CLASS CLASSIC B GL FR 40 non-dim 4W/827 B22d</t>
  </si>
  <si>
    <t>PERFORMANCE CLASS CLASSIC B GL FR 40 non-dim 4W/827 E14</t>
  </si>
  <si>
    <t>PERFORMANCE CLASS CLASSIC B GL FR 60 non-dim 5.5W/827 E14</t>
  </si>
  <si>
    <t>CLASSIC P LED PERFORMANCE  DIM CLARA</t>
  </si>
  <si>
    <t>PERFORMANCE CLASS CLASSIC P FIL 40 DIM 4.8W/827 E27</t>
  </si>
  <si>
    <t>PERFORMANCE CLASS CLASSIC P FIL 40 DIM 4.8W/827 E14</t>
  </si>
  <si>
    <t>CLASSIC P LED PERFORMANCE  DIM FOSCA</t>
  </si>
  <si>
    <t>PERFORMANCE CLASS CLASSIC P GL FR 25 DIM 2.8W/827 E14</t>
  </si>
  <si>
    <t>PERFORMANCE CLASS CLASSIC P GL FR 25 DIM 2.8W/827 E27</t>
  </si>
  <si>
    <t>PERFORMANCE CLASS CLASSIC P GL FR 40 DIM 4.8W/827 E14</t>
  </si>
  <si>
    <t>PERFORMANCE CLASS CLASSIC P GL FR 40 DIM 4.8W/827 E27</t>
  </si>
  <si>
    <t>PERFORMANCE CLASS CLASSIC P GL FR 40 DIM 4.8W/827 B22d</t>
  </si>
  <si>
    <t>CLASSIC P LED PERFORMANCE CLARA</t>
  </si>
  <si>
    <t>PERFORMANCE CLASS CLASSIC P FIL 15 non-dim 1.5W/827 E27</t>
  </si>
  <si>
    <t>PERFORMANCE CLASS CLASSIC P FIL 25 non-dim 2.5W/827 E14</t>
  </si>
  <si>
    <t>PERFORMANCE CLASS CLASSIC P FIL 25 non-dim 2.5W/827 E27</t>
  </si>
  <si>
    <t>PERFORMANCE CLASS CLASSIC P FIL 40 non-dim 4W/827 E14</t>
  </si>
  <si>
    <t>PERFORMANCE CLASS CLASSIC P FIL 60 non-dim 5.5W/827 E14</t>
  </si>
  <si>
    <t>PERFORMANCE CLASS CLASSIC P FIL 60 non-dim 5.5W/827 E27</t>
  </si>
  <si>
    <t>CLASSIC P LED PERFORMANCE FOSCA</t>
  </si>
  <si>
    <t>PERFORMANCE CLASS CLASSIC P GL FR 25 non-dim 2.5W/827 E14</t>
  </si>
  <si>
    <t>PERFORMANCE CLASS CLASSIC P GL FR 25 non-dim 2.5W/827 E27</t>
  </si>
  <si>
    <t>PERFORMANCE CLASS CLASSIC P GL FR 40 non-dim 4W/827 E14</t>
  </si>
  <si>
    <t>PERFORMANCE CLASS CLASSIC P GL FR 40 non-dim 4W/827 B22d</t>
  </si>
  <si>
    <t>PERFORMANCE CLASS CLASSIC P GL FR 40 non-dim 4W/827 E27</t>
  </si>
  <si>
    <t>PERFORMANCE CLASS CLASSIC P GL FR 60 non-dim 5.5W/827 E14</t>
  </si>
  <si>
    <t>GLOBE125 LED PERFORMANCE FILAMENT</t>
  </si>
  <si>
    <t>PERFORMANCE CLASS CLASSIC GLOBE125 FIL 25 non-dim 2.5W/827 E27</t>
  </si>
  <si>
    <t>PERFORMANCE CLASS CLASSIC GLOBE125 FIL 40 non-dim 4W/827 E27</t>
  </si>
  <si>
    <t>PERFORMANCE CLASS CLASSIC GLOBE125 FIL 60 non-dim 7W/827 E27</t>
  </si>
  <si>
    <t>GLOBE95 LED PERFORMANCE DIM GLASS FOSCA</t>
  </si>
  <si>
    <t>PERFORMANCE CLASS CLASSIC GLOBE95 GL FR 75 DIM 7.5W/827 E27</t>
  </si>
  <si>
    <t>PERFORMANCE CLASS CLASSIC GLOBE95 GL FR 100 DIM 11W/827 E27</t>
  </si>
  <si>
    <t>GLOBE LED PERFOMARMANCE GLASS FOSCA</t>
  </si>
  <si>
    <t>PERFORMANCE CLASS CLASSIC GLOBE95 GL FR 60 non-dim 6.5W/827 E27</t>
  </si>
  <si>
    <t>PERFORMANCE CLASS CLASSIC GLOBE95 GL FR 100 non-dim 11W/827 E27</t>
  </si>
  <si>
    <t>EDISON LED PERFORMANCE</t>
  </si>
  <si>
    <t>PERFORMANCE CLASS CLASSIC Edison FIL 40 non-dim 4W/827 E27</t>
  </si>
  <si>
    <t>PERFORMANCE CLASS CLASSIC Edison GL FR 40 non-dim 4W/827 E27</t>
  </si>
  <si>
    <t>PERFORMANCE CLASS CLASSIC Edison GL FR 55 non-dim 6.5W/827 E27</t>
  </si>
  <si>
    <t>CLASSIC LED 1906 DIM</t>
  </si>
  <si>
    <t>Vintage 1906 LED dim CLASSIC Edison FIL GOLD 55 DIM 6.5W/824 E27</t>
  </si>
  <si>
    <t>Vintage 1906 LED dim CLASSIC GLOBE125 FIL GOLD 55 DIM 6.5W/824 E27</t>
  </si>
  <si>
    <t>CLASSIC LED 1906 DIM SPIRAL FILAMENT CLARA</t>
  </si>
  <si>
    <t>CLASSIC LED 1906 DIM SPIRAL FILAMENT - GOLD &amp; SMOKE Glass</t>
  </si>
  <si>
    <t>Vintage 1906 LED dim CLASSIC GLOBE125 FIL GOLD 28 DIM 4W/820 E27</t>
  </si>
  <si>
    <t>Vintage 1906 LED dim CLASSIC Edison FIL GOLD 28 DIM 4W/820 E27</t>
  </si>
  <si>
    <t>Vintage 1906 LED dim CLASSIC GLOBE200 FIL GOLD 28 DIM 4W/820 E27</t>
  </si>
  <si>
    <t>Vintage 1906 LED dim CLASSIC A160 FIL GOLD 28 DIM 4W/820 E27</t>
  </si>
  <si>
    <t>Vintage 1906 LED dim CLASSIC GLOBE200 FIL SMOKE 16 DIM 4W/818 E27</t>
  </si>
  <si>
    <t>Vintage 1906 LED dim CLASSIC A160 FIL SMOKE 16 DIM 4W/818 E27</t>
  </si>
  <si>
    <t>LED Vintage 1906 Spiral ULTRA THIN Filaments - Dim SMOKE</t>
  </si>
  <si>
    <t>Vintage 1906 LED dim CLASSIC Edison FIL SMOKE 30 DIM 7.8W/818 E27</t>
  </si>
  <si>
    <t>Vintage 1906 LED dim CLASSIC Globe80 FIL SMOKE 30 DIM 7.8W/818 E27</t>
  </si>
  <si>
    <t>Vintage 1906 LED dim CLASSIC GLOBE95 FIL SMOKE 30 DIM 7.8W/818 E27</t>
  </si>
  <si>
    <t>Vintage 1906 LED dim CLASSIC Globe125 FIL SMOKE 30 DIM 7.8W/818 E27</t>
  </si>
  <si>
    <t>Vintage 1906 LED dim CLASSIC Globe200 FIL SMOKE 10 DIM 4.8W/818 E27</t>
  </si>
  <si>
    <t>LED Vintage 1906 Straight ULTRA THIN Filaments - Dim SMOKE</t>
  </si>
  <si>
    <t>Vintage 1906 LED dim CLASSIC Edison FIL SMOKE 42 DIM 11W/818 E27</t>
  </si>
  <si>
    <t>Vintage 1906 LED dim CLASSIC Globe80 FIL SMOKE 42 DIM 11W/818 E27</t>
  </si>
  <si>
    <t>Vintage 1906 LED dim CLASSIC GLOBE95 FIL SMOKE 42 DIM 11W/818 E27</t>
  </si>
  <si>
    <t>Vintage 1906 LED dim CLASSIC Globe125 FIL SMOKE 42 DIM 11W/818 E27</t>
  </si>
  <si>
    <t>LED Vintage 1906 Spiral ULTRA THIN Filaments - Dim GOLD</t>
  </si>
  <si>
    <t>Vintage 1906 LED dim CLASSIC B FIL GOLD 25 DIM 3.4W/822 E14</t>
  </si>
  <si>
    <t>Vintage 1906 LED dim CLASSIC P FIL GOLD 25 DIM 3.4W/822 E14</t>
  </si>
  <si>
    <t>Vintage 1906 LED dim CLASSIC A FIL GOLD 35 DIM 4.8W/822 E27</t>
  </si>
  <si>
    <t>Vintage 1906 LED dim CLASSIC Edison FIL GOLD 37 DIM 4.8W/822 E27</t>
  </si>
  <si>
    <t>Vintage 1906 LED dim CLASSIC Edison FIL GOLD 48 DIM 7W/822 E27</t>
  </si>
  <si>
    <t>Vintage 1906 LED dim CLASSIC Globe80 FIL GOLD 37 DIM 4.8W/822 E27</t>
  </si>
  <si>
    <t>Vintage 1906 LED dim CLASSIC Globe80 FIL GOLD 48 DIM 7W/822 E27</t>
  </si>
  <si>
    <t>Vintage 1906 LED dim CLASSIC GLOBE95 FIL GOLD 37 DIM 4.8W/822 E27</t>
  </si>
  <si>
    <t>Vintage 1906 LED dim CLASSIC GLOBE95 FIL GOLD 48 DIM 7W/822 E27</t>
  </si>
  <si>
    <t>Vintage 1906 LED dim CLASSIC Globe125 FIL GOLD 37 DIM 4.8W/822 E27</t>
  </si>
  <si>
    <t>Vintage 1906 LED dim CLASSIC Globe125 FIL GOLD 48 DIM 7W/822 E27</t>
  </si>
  <si>
    <t>Vintage 1906 LED dim CLASSIC Globe200 FIL GOLD 33 DIM 4.8W/822 E27</t>
  </si>
  <si>
    <t>LED Vintage 1906 Straight ULTRA THIN Filaments - Dim GOLD</t>
  </si>
  <si>
    <t>Vintage 1906 LED dim CLASSIC Edison FIL GOLD 40 DIM 5.8W/822 E27</t>
  </si>
  <si>
    <t>Vintage 1906 LED dim CLASSIC Edison FIL GOLD 60 DIM 8.8W/822 E27</t>
  </si>
  <si>
    <t>Vintage 1906 LED dim CLASSIC Globe80 FIL GOLD 40 DIM 5.8W/822 E27</t>
  </si>
  <si>
    <t>Vintage 1906 LED dim CLASSIC Globe80 FIL GOLD 60 DIM 8.8W/822 E27</t>
  </si>
  <si>
    <t>Vintage 1906 LED dim CLASSIC GLOBE95 FIL GOLD 40 DIM 5.8W/822 E27</t>
  </si>
  <si>
    <t>Vintage 1906 LED dim CLASSIC GLOBE95 FIL GOLD 60 DIM 8.8W/822 E27</t>
  </si>
  <si>
    <t>Vintage 1906 LED dim CLASSIC Globe125 FIL GOLD 40 DIM 5.8W/822 E27</t>
  </si>
  <si>
    <t>Vintage 1906 LED dim CLASSIC Globe125 FIL GOLD 60 DIM 8.8W/822 E27</t>
  </si>
  <si>
    <t>LED Vintage 1906 Special Shapes and colour</t>
  </si>
  <si>
    <t>Vintage 1906 LED dim CLASSIC D170G White 30 DIM 4.8W/827 E27</t>
  </si>
  <si>
    <t>Vintage 1906 LED dim CLASSIC Nest Smoke FIL SMOKE 10 DIM 4.8W/818 E27</t>
  </si>
  <si>
    <t>Vintage 1906 LED dim CLASSIC Nest Gold FIL GOLD 33 DIM 4.8W/824 E27</t>
  </si>
  <si>
    <t>Vintage 1906 LED dim CLASSIC T10 FIL GOLD 40 DIM 4.8W/822 E27</t>
  </si>
  <si>
    <t>Vintage 1906 LED dim CLASSIC Globe 140E FIL SMOKE 15 DIM 4.5W/816 E27</t>
  </si>
  <si>
    <t>Vintage 1906 LED dim CLASSIC ET124 Green 20 DIM 4.5W/816 E27</t>
  </si>
  <si>
    <t>Vintage 1906 LED dim CLASSIC G170G Blue 8 DIM 4.5W/816 E27</t>
  </si>
  <si>
    <t>Vintage 1906 LED dim CLASSIC G170G Pink 15 DIM 4.5W/816 E27</t>
  </si>
  <si>
    <t>Vintage 1906 LED dim CLASSIC A160 FIL SMOKE 10 DIM 4.5W/817 E27</t>
  </si>
  <si>
    <t>Vintage 1906 LED dim CLASSIC AW188 FIL SMOKE 15 DIM 4W/818 E27</t>
  </si>
  <si>
    <t>Vintage 1906 LED dim CLASSIC C125 FIL SMOKE 15 DIM 4W/818 E27</t>
  </si>
  <si>
    <t>CLASSIC LED 1906 NON-DIM</t>
  </si>
  <si>
    <t>Vintage 1906 LED CLASSIC A FIL SMOKE 10 non-dim 3.4W/818 E27</t>
  </si>
  <si>
    <t>Vintage 1906 LED CLASSIC Edison FIL SMOKE 10 non-dim 3.4W/818 E27</t>
  </si>
  <si>
    <t>Vintage 1906 LED CLASSIC GLOBE95 FIL SMOKE 10 non-dim 3.4W/818 E27</t>
  </si>
  <si>
    <t>CLASSIC LED 1906 A, B, BA, BW</t>
  </si>
  <si>
    <t>Vintage 1906 LED CLASSIC A FIL GOLD 22 non-dim 2.5W/824 E27</t>
  </si>
  <si>
    <t>Vintage 1906 LED CLASSIC A FIL GOLD 35 non-dim 4W/824 E27</t>
  </si>
  <si>
    <t>Vintage 1906 LED CLASSIC A FIL GOLD 50 non-dim 6.5W/824 E27</t>
  </si>
  <si>
    <t>Vintage 1906 LED CLASSIC A FIL GOLD 63 non-dim 7.5W/824 E27</t>
  </si>
  <si>
    <t>Vintage 1906 LED CLASSIC B FIL GOLD 12 non-dim 1.5W/824 E14</t>
  </si>
  <si>
    <t>Vintage 1906 LED CLASSIC B FIL GOLD 22 non-dim 2.5W/824 E14</t>
  </si>
  <si>
    <t>Vintage 1906 LED CLASSIC B FIL GOLD 35 non-dim 4W/824 E14</t>
  </si>
  <si>
    <t>Vintage 1906 LED CLASSIC BA FIL GOLD 12 non-dim 1.5W/824 E14</t>
  </si>
  <si>
    <t>Vintage 1906 LED CLASSIC BA FIL GOLD 22 non-dim 2.5W/824 E14</t>
  </si>
  <si>
    <t>CLASSIC LED 1906 P, EDISON, GLOBE</t>
  </si>
  <si>
    <t>Vintage 1906 LED CLASSIC P FIL GOLD 22 non-dim 2.5W/824 E14</t>
  </si>
  <si>
    <t>Vintage 1906 LED CLASSIC P FIL GOLD 35 non-dim 4W/824 E14</t>
  </si>
  <si>
    <t>Vintage 1906 LED CLASSIC Edison FIL GOLD 22 non-dim 2.5W/824 E27</t>
  </si>
  <si>
    <t>Vintage 1906 LED CLASSIC Edison FIL GOLD 35 non-dim 4W/824 E27</t>
  </si>
  <si>
    <t>Vintage 1906 LED CLASSIC GLOBE125 FIL GOLD 22 non-dim 2.5W/824 E27</t>
  </si>
  <si>
    <t>Vintage 1906 LED CLASSIC GLOBE125 FIL GOLD 35 non-dim 4W/824 E27</t>
  </si>
  <si>
    <t>Vintage 1906 LED CLASSIC GLOBE125 FIL GOLD 52 non-dim 6.5W/824 E27</t>
  </si>
  <si>
    <t>CLASSIC LED 1906 TUBULAR, OVAL</t>
  </si>
  <si>
    <t>Vintage 1906 LED CLASSIC Tubular FIL GOLD 20 non-dim 2.5W/820 E27</t>
  </si>
  <si>
    <t>Vintage 1906 LED CLASSIC Tubular FIL GOLD 35 non-dim 4W/820 E27</t>
  </si>
  <si>
    <t>Vintage 1906 LED CLASSIC OVAL FIL GOLD 40 non-dim 4W/824 E27</t>
  </si>
  <si>
    <t>CLASSIC LED 1906 SPECIAL SHAPES</t>
  </si>
  <si>
    <t>Vintage 1906 LED CLASSIC PINECONE FIL GOLD 40 non-dim 4W/824 E27</t>
  </si>
  <si>
    <t>Vintage 1906 LED CLASSIC DIAMOND FIL GOLD 40 non-dim 4W/824 E27</t>
  </si>
  <si>
    <t>CLASSIC LED 1906 SPIRAL FILAMENT - GOLD &amp; SMOKE Glass</t>
  </si>
  <si>
    <t>Vintage 1906 LED CLASSIC Edison FIL GOLD 28 non-dim 4W/820 E27</t>
  </si>
  <si>
    <t>Vintage 1906 LED CLASSIC GLOBE125 FIL GOLD 28 non-dim 4W/820 E27</t>
  </si>
  <si>
    <t>Vintage 1906 LED CLASSIC A160 FIL GOLD 28 non-dim 4W/820 E27</t>
  </si>
  <si>
    <t>Vintage 1906 LED CLASSIC GLOBE200 FIL GOLD 28 non-dim 4W/820 E27</t>
  </si>
  <si>
    <t>Vintage 1906 LED CLASSIC Edison FIL SMOKE 16 non-dim 4W/818 E27</t>
  </si>
  <si>
    <t>Vintage 1906 LED CLASSIC GLOBE125 FIL SMOKE 16 non-dim 4W/818 E27</t>
  </si>
  <si>
    <t>Vintage 1906 LED CLASSIC GLOBE200 FIL SMOKE 16 non-dim 4W/818 E27</t>
  </si>
  <si>
    <t>Vintage 1906 LED CLASSIC A160 FIL SMOKE 16 non-dim 4W/818 E27</t>
  </si>
  <si>
    <t>PAR16 LED SUPERIOR</t>
  </si>
  <si>
    <t>SUPERIOR CLASS Spot PAR16 GL 35 dim 3.4W/927 GU10</t>
  </si>
  <si>
    <t>SUPERIOR CLASS Spot PAR16 GL 35 dim 3.4W/930 GU10</t>
  </si>
  <si>
    <t>SUPERIOR CLASS Spot PAR16 GL 35 dim 3.4W/940 GU10</t>
  </si>
  <si>
    <t xml:space="preserve">PAR16 LED COMFORT LIGHT - LEDVANCE SUPERIOR CLASS </t>
  </si>
  <si>
    <t>LED COMFORT/SUPERIOR Spot PAR16 GL 50 dim 4.7W/927 GU10</t>
  </si>
  <si>
    <t>LED COMFORT/SUPERIOR Spot PAR16 GL 50 dim 4.7W/940 GU10</t>
  </si>
  <si>
    <t>PAR16 LED PERFORMANCE DIM</t>
  </si>
  <si>
    <t>PAR16 LED PERFORMANCE</t>
  </si>
  <si>
    <t>VALUE PAR16</t>
  </si>
  <si>
    <t>VALUE CLASSIC A, B e P</t>
  </si>
  <si>
    <t>MR16 LED SUPERIOR</t>
  </si>
  <si>
    <t xml:space="preserve">MR16 LED COMFORT LIGHT - LEDVANCE SUPERIOR CLASS </t>
  </si>
  <si>
    <t>MR16 LED PERFORMANCE DIM</t>
  </si>
  <si>
    <t>PERFORMANCE CLASS Spot MR16 GL 50 DIM 8W/927 GU5.3</t>
  </si>
  <si>
    <t>PERFORMANCE CLASS Spot MR16 GL 50 DIM 8W/930 GU5.3</t>
  </si>
  <si>
    <t>PERFORMANCE CLASS Spot MR16 GL 50 DIM 8W/940 GU5.3</t>
  </si>
  <si>
    <t>MR16 LED PERFORMANCE</t>
  </si>
  <si>
    <t>MR16 LED PERFORMANCE 120º</t>
  </si>
  <si>
    <t>MR11 LED PERFORMANCE DIM</t>
  </si>
  <si>
    <t>MR11 LED PERFORMANCE</t>
  </si>
  <si>
    <t>GX53 LED STAR</t>
  </si>
  <si>
    <t>LED STAR Spot GX53 FR 40 non-dim 4.9W/827 GX53</t>
  </si>
  <si>
    <t>LED STAR Spot GX53 FR 40 non-dim 4.9W/840 GX53</t>
  </si>
  <si>
    <t>AR111 LED SUPERIOR</t>
  </si>
  <si>
    <t>SUPERIOR CLASS Spot AR111 HS 50 DIM 7.4W/927 G53</t>
  </si>
  <si>
    <t>SUPERIOR CLASS Spot AR111 HS 50 DIM 7.4W/930 G53</t>
  </si>
  <si>
    <t>SUPERIOR CLASS Spot AR111 HS 75 DIM 11.7W/927 G53</t>
  </si>
  <si>
    <t>SUPERIOR CLASS Spot AR111 HS 75 DIM 11.7W/930 G53</t>
  </si>
  <si>
    <t>SUPERIOR CLASS Spot AR111 HS 75 DIM 11.7W/940 G53</t>
  </si>
  <si>
    <t>SUPERIOR CLASS Spot AR111 HS 100 DIM 13.5W/927 G53</t>
  </si>
  <si>
    <t>PAR20, PAR30, PAR38 LED PERFORMANCE DIM</t>
  </si>
  <si>
    <t>PAR16 E14 LED</t>
  </si>
  <si>
    <t>PERFORMANCE CLASS Spot PAR16 GL 50 DIM 4.8W/927 E14</t>
  </si>
  <si>
    <t>PERFORMANCE CLASS Spot PAR16 GL 50 non-dim 4.5W/827 E14</t>
  </si>
  <si>
    <t>R39/50/63/80 LED</t>
  </si>
  <si>
    <t xml:space="preserve">LED COMFORT LIGHT - LEDVANCE SUPERIOR CLASS </t>
  </si>
  <si>
    <t>LED PERFOMANCE DIM</t>
  </si>
  <si>
    <t>LED PERFOMANCE</t>
  </si>
  <si>
    <t>CLASSIC A LED - FROSTED (Heatsink Portfolio)</t>
  </si>
  <si>
    <t>CLASSIC A SUPERIOR CLASS - COMFORT LIGHT CRI 97</t>
  </si>
  <si>
    <t>SUPERIOR CLASS CLASSIC A 40 FR non-dim 4.9W/927 E27</t>
  </si>
  <si>
    <t>SUPERIOR CLASS CLASSIC A 60 FR non-dim 9.4W/927 E27</t>
  </si>
  <si>
    <t>SUPERIOR CLASS CLASSIC B 25 FR non-dim 2.8W/927 E14</t>
  </si>
  <si>
    <t>SUPERIOR CLASS CLASSIC B 40 FR non-dim 4.9W/927 E14</t>
  </si>
  <si>
    <t>SUPERIOR CLASS CLASSIC P 40 FR non-dim 4.9W/927 E14</t>
  </si>
  <si>
    <t>CLASSIC A &amp; B SUPERIOR CLASS - FACILITY LAMP</t>
  </si>
  <si>
    <t>SUPERIOR CLASS CLASSIC A 60 FR non-dim 7W/827 E27</t>
  </si>
  <si>
    <t>SUPERIOR CLASS CLASSIC A 75 FR non-dim 9W/827 E27</t>
  </si>
  <si>
    <t>SUPERIOR CLASS CLASSIC A 60 FR non-dim 7W/840 E27</t>
  </si>
  <si>
    <t>SUPERIOR CLASS CLASSIC A 75 FR non-dim 9W/840 E27</t>
  </si>
  <si>
    <t>SUPERIOR CLASS CLASSIC B 60 FR non-dim 7.3W/827 E14</t>
  </si>
  <si>
    <t>SUPERIOR CLASS CLASSIC B 60 FR non-dim 7.3W/840 E14</t>
  </si>
  <si>
    <t>CLASSIC A PERFORMANCE CLASS - DIM</t>
  </si>
  <si>
    <t>PERFORMANCE CLASS CLASSIC A 60 FR DIM 8.8W/827 E27</t>
  </si>
  <si>
    <t>PERFORMANCE CLASS CLASSIC A 75 FR DIM 10.5W/827 E27</t>
  </si>
  <si>
    <t>PERFORMANCE CLASS CLASSIC A 100 FR DIM 14W/827 E27</t>
  </si>
  <si>
    <t>PERFORMANCE CLASS CLASSIC A 150 FR DIM 20W/827 E27</t>
  </si>
  <si>
    <t>CLASSIC A VALUE CLASS - NON-DIM</t>
  </si>
  <si>
    <t>PERFORMANCE CLASS CLASSIC A 40 FR non-dim 4.9W/827 E27</t>
  </si>
  <si>
    <t>PERFORMANCE CLASS CLASSIC A 40 FR non-dim 4.9W/840 E27</t>
  </si>
  <si>
    <t>PERFORMANCE CLASS CLASSIC A 60 FR non-dim 8.5W/827 E27</t>
  </si>
  <si>
    <t>PERFORMANCE CLASS CLASSIC A 60 FR non-dim 8.5W/840 E27</t>
  </si>
  <si>
    <t>PERFORMANCE CLASS CLASSIC A 60 FR non-dim 8.5W/827 B22d</t>
  </si>
  <si>
    <t>PERFORMANCE CLASS CLASSIC A 75 FR non-dim 10W/827 E27</t>
  </si>
  <si>
    <t>PERFORMANCE CLASS CLASSIC A 75 FR non-dim 10W/840 E27</t>
  </si>
  <si>
    <t>PERFORMANCE CLASS CLASSIC A 100 FR non-dim 13W/827 E27</t>
  </si>
  <si>
    <t>PERFORMANCE CLASS CLASSIC A 100 FR non-dim 13W/840 E27</t>
  </si>
  <si>
    <t>PERFORMANCE CLASS CLASSIC A 150 FR non-dim 19W/827 E27</t>
  </si>
  <si>
    <t>LED SUPERSTAR+ CLASSIC A 45 FR non-dim 6.5W/840 E27</t>
  </si>
  <si>
    <t>LED SUPERSTAR+ CLASSIC A 65 FR non-dim 9W/840 E27</t>
  </si>
  <si>
    <t>LED SUPERSTAR+ CLASSIC A 45 FR non-dim 6.5W/827 E27</t>
  </si>
  <si>
    <t>LED SUPERSTAR+ CLASSIC A 65 FR non-dim 9W/827 E27</t>
  </si>
  <si>
    <t>CLASSIC B PERFORMANCE DIM (Heatsink)</t>
  </si>
  <si>
    <t>PERFORMANCE CLASS CLASSIC B 40 FR DIM 4.9W/827 E14</t>
  </si>
  <si>
    <t>CLASSIC B PERFORMANCE nomDIM (Heatsink)</t>
  </si>
  <si>
    <t>PERFORMANCE CLASS CLASSIC B 40 FR non-dim 4.9W/827 E14</t>
  </si>
  <si>
    <t>CLASSIC P LED - FROSTED (Heatsink)</t>
  </si>
  <si>
    <t>PERFORMANCE CLASS CLASSIC P 40 FR DIM 4.9W/827 E14</t>
  </si>
  <si>
    <t>PERFORMANCE CLASS CLASSIC P 40 FR non-dim 4.9W/827 E14</t>
  </si>
  <si>
    <t>CLASSIC STICK -  Non-dim  (Heatsink)</t>
  </si>
  <si>
    <t>PERFORMANCE CLASS CLASSIC STICK 60 FR non-dim 8W/827 E27</t>
  </si>
  <si>
    <t>PERFORMANCE CLASS CLASSIC STICK 60 FR non-dim 8W/840 E27</t>
  </si>
  <si>
    <t>PERFORMANCE CLASS CLASSIC STICK 75 FR non-dim 9W/827 E27</t>
  </si>
  <si>
    <t>PERFORMANCE CLASS CLASSIC STICK 75 FR non-dim 9W/840 E27</t>
  </si>
  <si>
    <t xml:space="preserve">LED SPECIAL T26 </t>
  </si>
  <si>
    <t>PERFORMANCE CLASS SPECIAL T26 FR 20 non-dim 2.3W/827 E14</t>
  </si>
  <si>
    <t>PERFORMANCE CLASS SPECIAL T26 FR 20 non-dim 2.3W/865 E14</t>
  </si>
  <si>
    <t>PERFORMANCE CLASS SPECIAL T26 FIL 10 non-dim 1.3W/827 E14</t>
  </si>
  <si>
    <t>PERFORMANCE CLASS SPECIAL T26 FIL 25 non-dim 2.8W/827 E14</t>
  </si>
  <si>
    <t>PERFORMANCE CLASS SPECIAL T26 FIL 25 non-dim 2.8W/865 E14</t>
  </si>
  <si>
    <t>PERFORMANCE CLASS SPECIAL T26 FIL 40 non-dim 4.2W/827 E14</t>
  </si>
  <si>
    <t>SPECIAL T SLIM DIM</t>
  </si>
  <si>
    <t>SPECIAL T SLIM</t>
  </si>
  <si>
    <t xml:space="preserve">LED PIN 12V DIM  </t>
  </si>
  <si>
    <t>PERFORMANCE CLASS SPECIAL PIN CL 20 DIM 2W/827 G4</t>
  </si>
  <si>
    <t>DIM SPECIAL PIN CL 40 dim 4.5W/827 GY6.35</t>
  </si>
  <si>
    <t>LED PIN 12V</t>
  </si>
  <si>
    <t>PERFORMANCE CLASS SPECIAL PIN CL 10 non-dim 0.9W/827 G4</t>
  </si>
  <si>
    <t>PERFORMANCE CLASS SPECIAL PIN CL 40 non-dim 4W/827 GY6.35</t>
  </si>
  <si>
    <t xml:space="preserve">PERFORMANCE DIM LED PIN G9  </t>
  </si>
  <si>
    <t>PERFORMANCE CLASS SPECIAL PIN CL 30 DIM 3W/827 G9</t>
  </si>
  <si>
    <t>PERFORMANCE CLASS SPECIAL PIN CL 40 DIM 4W/827 G9</t>
  </si>
  <si>
    <t xml:space="preserve">PERFORMANCE LED PIN G9  </t>
  </si>
  <si>
    <t>LED PIN G9 FROSTED</t>
  </si>
  <si>
    <t>SPECIAL PIN FR 19 non-dim 1.9W/827 G9</t>
  </si>
  <si>
    <t>SPECIAL PIN FR 28 non-dim 2.6W/827 G9</t>
  </si>
  <si>
    <t>SPECIAL PIN FR 37 non-dim 4.2W/827 G9</t>
  </si>
  <si>
    <t xml:space="preserve">PERFORMANCE DIM LINE R7s </t>
  </si>
  <si>
    <t>PERFORMANCE CLASS SPECIAL LINE 78 CL 75 DIM 9.5W/827 R7S</t>
  </si>
  <si>
    <t>PERFORMANCE CLASS SPECIAL LINE 78 CL 100 DIM 12W/827 R7S</t>
  </si>
  <si>
    <t>PERFORMANCE CLASS SPECIAL LINE 118 CL 125 DIM 15W/827 R7S</t>
  </si>
  <si>
    <t>PERFORMANCE CLASS SPECIAL LINE 118 CL 150 DIM 18.2W/827 R7S</t>
  </si>
  <si>
    <t xml:space="preserve">PERFORMANCE LINE R7s </t>
  </si>
  <si>
    <t>PERFORMANCE CLASS SPECIAL LINE 78 CL 60 non-dim 7.3W/827 R7S</t>
  </si>
  <si>
    <t>PERFORMANCE CLASS SPECIAL LINE 78 CL 75 non-dim 8W/827 R7S</t>
  </si>
  <si>
    <t>PERFORMANCE CLASS SPECIAL LINE 78 CL 100 non-dim 11.5W/827 R7S</t>
  </si>
  <si>
    <t>PERFORMANCE CLASS SPECIAL LINE 118 CL 100 non-dim 13W/827 R7S</t>
  </si>
  <si>
    <t>PERFORMANCE CLASS SPECIAL LINE 118 CL 125 non-dim 15W/827 R7S</t>
  </si>
  <si>
    <t>PERFORMANCE CLASS SPECIAL LINE 118 CL 150 non-dim 18.2W/827 R7S</t>
  </si>
  <si>
    <t>SLIM LINE R7s</t>
  </si>
  <si>
    <t>LED LINE S19</t>
  </si>
  <si>
    <t>LED STAR SPECIAL S19 FR 60 non-dim 9W/827 S19</t>
  </si>
  <si>
    <t>LED LINE S15</t>
  </si>
  <si>
    <t>SPECIAL S15 FR 32 non-dim 4W/827 S15s</t>
  </si>
  <si>
    <t>SPECIAL S15 FR 57 non-dim 7W/827 S15s</t>
  </si>
  <si>
    <t>LEDinestra DIM - Dimmable</t>
  </si>
  <si>
    <t>LEDinestra DIM 30cm 3.1W/827 FR S14s</t>
  </si>
  <si>
    <t>LEDinestra DIM 30cm 3.1W/827 FR S14d</t>
  </si>
  <si>
    <t>LEDinestra DIM 50cm 4.9W/827 FR S14s</t>
  </si>
  <si>
    <t>LEDinestra DIM 50cm 4.9W/827 FR S14d</t>
  </si>
  <si>
    <t>LEDinestra DIM 100cm 9.9W/827 FR S14s</t>
  </si>
  <si>
    <t>LEDinestra BASE-PLASTIC</t>
  </si>
  <si>
    <t xml:space="preserve">LEDinestra 30cm non-dim 3.5W/827 FR S14d </t>
  </si>
  <si>
    <t xml:space="preserve">LEDinestra 30cm non-dim 3.5W/827 FR S14s </t>
  </si>
  <si>
    <t xml:space="preserve">LEDinestra 50cm non-dim 6W/827 FR S14d </t>
  </si>
  <si>
    <t xml:space="preserve">LEDinestra 50cm non-dim 6W/827 FR S14s </t>
  </si>
  <si>
    <t>CIRCOLUX® LED</t>
  </si>
  <si>
    <t>SPECIAL CIRCOLUX FR 100 non-dim 14.5W/827 E27</t>
  </si>
  <si>
    <t>GLOWdim Classic</t>
  </si>
  <si>
    <t>LED STAR+ CL A FIL 40 GLOWdim 4W/827 E27</t>
  </si>
  <si>
    <t>LED STAR+ CL A FIL 60 GLOWdim 6.5W/827 E27</t>
  </si>
  <si>
    <t>LED STAR+ CL B FIL 40 GLOWdim 4W/827 E14</t>
  </si>
  <si>
    <t>LED STAR+ CL GLOBE125 FIL 60 GLOWdim 6.5W/827 E27</t>
  </si>
  <si>
    <t>LED STAR+ CL P FIL 40 GLOWdim 4W/827 E14</t>
  </si>
  <si>
    <t>GLOWdim Spot</t>
  </si>
  <si>
    <t>SUPERIOR CLASS Spot AR111 HS 50 GLOWdim 7.2W/927 G53</t>
  </si>
  <si>
    <t>LED STAR+ CL A FIL 60 non-dim 7W/827 E27</t>
  </si>
  <si>
    <t>LED STAR+ CL B FIL 40 non-dim 4W/827 E14</t>
  </si>
  <si>
    <t>LED STAR+ CL P FIL 40 non-dim 4W/827 E14</t>
  </si>
  <si>
    <t>3 STEP DIM</t>
  </si>
  <si>
    <t>LED STAR+ CL A FIL 60 non-dim 6.5W/827 E27</t>
  </si>
  <si>
    <t>LED STAR+ Spot PAR16 GL 50 non-dim 3.7W/827 GU10</t>
  </si>
  <si>
    <t>LED STAR+ SPECIAL PIN CL 40 non-dim 4W/827 G9</t>
  </si>
  <si>
    <t>SUPERIOR Daylight Sensor CLA</t>
  </si>
  <si>
    <t>SUPERIOR MOTION  Sensor CLA</t>
  </si>
  <si>
    <t>LED Filament Mirror</t>
  </si>
  <si>
    <t>PERFORMANCE CLASS CLASSIC P FIL Mirror Silver 31 non-dim 4W/827 E14</t>
  </si>
  <si>
    <t>PERFORMANCE CLASS CLASSIC A FIL Mirror Silver 50 non-dim 6.5W/827 E27</t>
  </si>
  <si>
    <t>Tradicional</t>
  </si>
  <si>
    <t>FLUORESCENTES TUBULARES</t>
  </si>
  <si>
    <t>Cinzento</t>
  </si>
  <si>
    <t xml:space="preserve">HO 54 W/865 </t>
  </si>
  <si>
    <t>Laranja</t>
  </si>
  <si>
    <t>Emergency Lighting 6 W/840</t>
  </si>
  <si>
    <t>Emergency Lighting 8 W/840</t>
  </si>
  <si>
    <t>L 18 W/827</t>
  </si>
  <si>
    <t>L 18 W/830</t>
  </si>
  <si>
    <t>L 30 W/865</t>
  </si>
  <si>
    <t>L 36 W/827</t>
  </si>
  <si>
    <t>L 36 W/830</t>
  </si>
  <si>
    <t>L 58 W/827</t>
  </si>
  <si>
    <t>L 58 W/830</t>
  </si>
  <si>
    <t>L 58 W/840</t>
  </si>
  <si>
    <t>L 58 W/865</t>
  </si>
  <si>
    <t>L 58 W/880</t>
  </si>
  <si>
    <t>L 36 W/840-1</t>
  </si>
  <si>
    <t>L 30 W/76 Natura</t>
  </si>
  <si>
    <t>L 36 W/76 Natura</t>
  </si>
  <si>
    <t>L 22 W/865 T9 Circular</t>
  </si>
  <si>
    <t>L 32 W/827 T9 Circular</t>
  </si>
  <si>
    <t>L 32 W/840 T9 Circular</t>
  </si>
  <si>
    <t>L 40 W/840 T9 Circular</t>
  </si>
  <si>
    <t>STARTER ST 111 LONGLIFE</t>
  </si>
  <si>
    <t>STARTER ST 171 SAFETY DEOS</t>
  </si>
  <si>
    <t>STARTER ST 173 SAFETY DEOS</t>
  </si>
  <si>
    <t>STARTER ST 151 LONGLIFE</t>
  </si>
  <si>
    <t>STARTER ST 172 SAFETY DEOS</t>
  </si>
  <si>
    <t>FLUORESCENTES COMPACTAS NÃO INTEGRADAS</t>
  </si>
  <si>
    <t>DULUX D 18 W/865</t>
  </si>
  <si>
    <t>DULUX T/E PLUS 26 W/840</t>
  </si>
  <si>
    <t>DULUX L 55 W/830 2G11</t>
  </si>
  <si>
    <t>DULUX F 24 W/840 2G10</t>
  </si>
  <si>
    <t>LÂMPADAS DE DESCARGA</t>
  </si>
  <si>
    <t>HQI-TS 1000 W/NDL/S UVS</t>
  </si>
  <si>
    <t>HQI-TS 1000 W/D/S PRO</t>
  </si>
  <si>
    <t>HQI-TS 2000 W/NDL/S</t>
  </si>
  <si>
    <t>HQI-TS 2000 W/D/S</t>
  </si>
  <si>
    <t>HQI-TS 2000 W/D/S/HF 3)</t>
  </si>
  <si>
    <t>HQI-TS 2000 W/N/L</t>
  </si>
  <si>
    <t>HQI-T 1000 W/D</t>
  </si>
  <si>
    <t>HQI-T 1000 W/N</t>
  </si>
  <si>
    <t>HQI-T 2000 W/N/E SUPER</t>
  </si>
  <si>
    <t>HQI-T 2000 W/N/SN SUPER 1)</t>
  </si>
  <si>
    <t>HQI-T 2000 W/D</t>
  </si>
  <si>
    <t>HQI-T 2000 W/N/I 2)</t>
  </si>
  <si>
    <t>HQI-T 2000 W/D/I 2)</t>
  </si>
  <si>
    <t>HQI-T 400/N E40</t>
  </si>
  <si>
    <t>HQI-E 400/N E40</t>
  </si>
  <si>
    <t>HQI-E 250 W/D PRO</t>
  </si>
  <si>
    <t>HQI-E 400 W/N CO</t>
  </si>
  <si>
    <t>HQI-E 1000 W/N</t>
  </si>
  <si>
    <t>NAV-E 50 W/E E27</t>
  </si>
  <si>
    <t>NAV-E 70 W/E E27</t>
  </si>
  <si>
    <t>NAV-E 50 W/I E27</t>
  </si>
  <si>
    <t>NAV-E 70 W/I E27</t>
  </si>
  <si>
    <t>HALOGÉNEO</t>
  </si>
  <si>
    <t>INCANDESCENTES</t>
  </si>
  <si>
    <t>SPC T26/57 DEP 15W230V E14 frigoríficos/máq. costura</t>
  </si>
  <si>
    <t>SPC T26/57 DEP 25W230V E14 frigoríficos/máq. costura</t>
  </si>
  <si>
    <t>ECG</t>
  </si>
  <si>
    <t>BALASTROS ELETRÓNICOS PARA LÂMPADAS FLUORESCENTES - para Regulação</t>
  </si>
  <si>
    <t>QUICKTRONIC® para funcionamento on/off</t>
  </si>
  <si>
    <t>QTi 1X14/24/21/39 GII</t>
  </si>
  <si>
    <t>QTi 1X28/54/35/49 GII</t>
  </si>
  <si>
    <t>QTi 1X35/49/80 GII</t>
  </si>
  <si>
    <t>QTi 2X14/24/21/39 GII</t>
  </si>
  <si>
    <t>QTP5 1X14…35</t>
  </si>
  <si>
    <t>QTP5 1X49</t>
  </si>
  <si>
    <t>QTP5 1X80</t>
  </si>
  <si>
    <t>QTP5 2X14…35</t>
  </si>
  <si>
    <t>QTP5 2X49</t>
  </si>
  <si>
    <t>QTP5 3X14,4X14</t>
  </si>
  <si>
    <t>QT-FQ 2X80</t>
  </si>
  <si>
    <t>QTP-OPTIMAL 1x18…40</t>
  </si>
  <si>
    <t>QTP-OPTIMAL 1X54…58</t>
  </si>
  <si>
    <t>QTP-OPTIMAL 2X18…40</t>
  </si>
  <si>
    <t>QTP-OPTIMAL 2X54…58</t>
  </si>
  <si>
    <t>QT-FIT5 1X14…35</t>
  </si>
  <si>
    <t>QT-FIT5 2X14…35</t>
  </si>
  <si>
    <t>QT-FIT5 2X49</t>
  </si>
  <si>
    <t>QT-FIT5 3X14,4X14</t>
  </si>
  <si>
    <t>QT-FIT 5/8 1X18…39</t>
  </si>
  <si>
    <t>QT-FIT 5/8 1X54…58</t>
  </si>
  <si>
    <t>QT-FIT 5/8 2X54…58</t>
  </si>
  <si>
    <t>QT-FIT8 1X36</t>
  </si>
  <si>
    <t>QT-FIT8 1X58…70</t>
  </si>
  <si>
    <t>QT-FIT8 2X18</t>
  </si>
  <si>
    <t>QT-FIT8 2X36</t>
  </si>
  <si>
    <t>QT-FIT8 2X58</t>
  </si>
  <si>
    <t>QT-FIT8 3X18,4X18</t>
  </si>
  <si>
    <t>QTz8 1X18</t>
  </si>
  <si>
    <t>QTz8 1X36</t>
  </si>
  <si>
    <t>QTz8 4X18</t>
  </si>
  <si>
    <t>QT-M 2X26…42 S</t>
  </si>
  <si>
    <t>QT-ECO 2X5…11 S</t>
  </si>
  <si>
    <t>REACTÂNCIAS PARA LÂMPADAS DE DESCARGA</t>
  </si>
  <si>
    <t>PTi 35/220…240 S</t>
  </si>
  <si>
    <t>PTi 35/220…240 S MINI</t>
  </si>
  <si>
    <t>PTi 70/220…240 S</t>
  </si>
  <si>
    <t>PTi 35/220…240 I</t>
  </si>
  <si>
    <t>PTi 70/220…240 I</t>
  </si>
  <si>
    <t>PTi 150/220…240 I</t>
  </si>
  <si>
    <t>PT-FIT 35/220…240 S</t>
  </si>
  <si>
    <t>PT-FIT 70/220…240 S</t>
  </si>
  <si>
    <t>PT-FIT 35/220…240 I</t>
  </si>
  <si>
    <t>PT-FIT 70/220…240 I</t>
  </si>
  <si>
    <t>Transformadores eletrónicos para lâmpadas de halogéneo</t>
  </si>
  <si>
    <t>HTi DALI 105/230…240 DIM</t>
  </si>
  <si>
    <t>HTL 225/230…240</t>
  </si>
  <si>
    <t>HTM 70/230…240</t>
  </si>
  <si>
    <t>HTM 105/230…240</t>
  </si>
  <si>
    <t>HTM 150/230…240</t>
  </si>
  <si>
    <t>HTN 75/230…240 I</t>
  </si>
  <si>
    <t>ET-PARROT 70/220…240 I</t>
  </si>
  <si>
    <t>ET-PARROT 105/220…240 I</t>
  </si>
  <si>
    <t>HTi DALI 315 DIM</t>
  </si>
  <si>
    <t>Tensão constante 24V DALI</t>
  </si>
  <si>
    <t>OTi DALI 50/220…240/24 1…4 CH</t>
  </si>
  <si>
    <t>OTI DALI 50/220-240/24 4CH DT6/8 G3</t>
  </si>
  <si>
    <t xml:space="preserve">OTI DALI 80/220-240/24 4CH DT6/8 </t>
  </si>
  <si>
    <t>OTI DALI 80/220-240/24 4CH DT6/8 G3</t>
  </si>
  <si>
    <t>OTi DALI 160/220…240/24 1-2 CH</t>
  </si>
  <si>
    <t>OTI DALI 160/220-240/24 2CH DT6/8 G3</t>
  </si>
  <si>
    <t>OTI DALI 210/220…240/24 1-4 CH</t>
  </si>
  <si>
    <t>IP66/IP67</t>
  </si>
  <si>
    <t xml:space="preserve">Tensão constante 24V Regulação 1-10V </t>
  </si>
  <si>
    <t>OT 130/220-240/24 DIM P</t>
  </si>
  <si>
    <t>OT 250/220-240/24 DIM P</t>
  </si>
  <si>
    <t>OPTOTRONIC® Tensão Constante - 24 V não regulável</t>
  </si>
  <si>
    <t>OT 20/220-240/24</t>
  </si>
  <si>
    <t>OT 100/220-240/24 P</t>
  </si>
  <si>
    <t>OT 130/220-240/24 P</t>
  </si>
  <si>
    <t>OT 250/220-240/24 P</t>
  </si>
  <si>
    <t xml:space="preserve">OT SLIM 30/220-240     </t>
  </si>
  <si>
    <t>OT SLIM 60/220-240</t>
  </si>
  <si>
    <t>OT SLIM 100/220-240</t>
  </si>
  <si>
    <t>OT SLIM 160/220-240</t>
  </si>
  <si>
    <t xml:space="preserve">OT SLIM 250/220-240 </t>
  </si>
  <si>
    <t>OPTOTRONIC® Tensão Constante - Regulável com Bluetooth</t>
  </si>
  <si>
    <t>OT BLE DIM</t>
  </si>
  <si>
    <t>OTI BLE 80/220-240/24 1-4CH</t>
  </si>
  <si>
    <t>OPTOTRONIC® Tensão Constante - Regulação DALI</t>
  </si>
  <si>
    <t>OTI DALI DIM 1-4CH D VS20          OSRAM</t>
  </si>
  <si>
    <t>OPTOTRONIC® Tensão Constante - Regulação DMX</t>
  </si>
  <si>
    <t xml:space="preserve">OPTOTRONIC® Corrente Constante _Regulação </t>
  </si>
  <si>
    <t>OT DIM</t>
  </si>
  <si>
    <t>OT 50/120…277/800 2DIMLT2 P</t>
  </si>
  <si>
    <t>IP64</t>
  </si>
  <si>
    <t>OT 50/120…277/1A2 2DIMLT2 P</t>
  </si>
  <si>
    <t>OT 110/120…277/1A4 2DIMLT2 P</t>
  </si>
  <si>
    <t>OT CABLE CLAMP A-STYLE</t>
  </si>
  <si>
    <t>OT CABLE CLAMP B-STYLE</t>
  </si>
  <si>
    <t>OT CABLE CLAMP D-STYLE **</t>
  </si>
  <si>
    <t>OT CABLE CLAMP E-STYLE</t>
  </si>
  <si>
    <t>OT CABLE CLAMP F-STYLE</t>
  </si>
  <si>
    <t>OT CABLE CLAMP A-STYLE TL</t>
  </si>
  <si>
    <t>OT CABLE CLAMP B-STYLE TL</t>
  </si>
  <si>
    <t>OT CABLE CLAMP B-STYLE LP TL</t>
  </si>
  <si>
    <t>OT CABLE CLAMP N-STYLE</t>
  </si>
  <si>
    <t>OPTOTRONIC® Corrente Constante - ON/OFF</t>
  </si>
  <si>
    <t>OT FIT 50/220-240/250 D L</t>
  </si>
  <si>
    <t>OT FIT 55/220-240/1A0 CS L G2</t>
  </si>
  <si>
    <t>OT FIT 75/220-240/1A4 CS L G2</t>
  </si>
  <si>
    <t>OT FIT 75/220-240/1A6 CS</t>
  </si>
  <si>
    <t xml:space="preserve">OT FIT 120/220-240/750 D LT2 L </t>
  </si>
  <si>
    <t>OPTOTRONIC® Corrente Constante - Regulação DALI</t>
  </si>
  <si>
    <t>OTI DALI 10/220-240/700 NFC</t>
  </si>
  <si>
    <t>OTI DALI 15/220-240/1A0 LT2</t>
  </si>
  <si>
    <t>OTI DALI 25/220-240/700 LT2 DIM</t>
  </si>
  <si>
    <t>OTI DALI 35/220-240/700 LT2L G2</t>
  </si>
  <si>
    <t xml:space="preserve">OTI DALI 50/220-240/1A4 LT2 FAN </t>
  </si>
  <si>
    <t xml:space="preserve">OTI DALI 80/220-240/1A6 LT2 L </t>
  </si>
  <si>
    <t>OTI DALI 80/220-240/2A1 LT2 L</t>
  </si>
  <si>
    <t>OTI DALI 90/220-240/700D LT2 L</t>
  </si>
  <si>
    <t>LMS</t>
  </si>
  <si>
    <t>DALI PCU</t>
  </si>
  <si>
    <t>DIM MCU G2</t>
  </si>
  <si>
    <t xml:space="preserve">DALI PS LI </t>
  </si>
  <si>
    <t>DALIeco BT RTC CONTROL</t>
  </si>
  <si>
    <t>DALIeco BT CONTROL</t>
  </si>
  <si>
    <t>DALI ACU BT CON</t>
  </si>
  <si>
    <t xml:space="preserve">DALIECO CONTROL </t>
  </si>
  <si>
    <t>DALIECO SWARM ADAPTER</t>
  </si>
  <si>
    <t>DALIeco LS/PD LI NP</t>
  </si>
  <si>
    <t xml:space="preserve">HF LS LI </t>
  </si>
  <si>
    <t>DALIeco Remote PC KIT</t>
  </si>
  <si>
    <t xml:space="preserve">LS/PD MULTI 3 CI </t>
  </si>
  <si>
    <t xml:space="preserve">DALI PRO Cont-4 RTC </t>
  </si>
  <si>
    <t xml:space="preserve">Interface DALI /KNX </t>
  </si>
  <si>
    <t xml:space="preserve">DALI LS/PD LI </t>
  </si>
  <si>
    <t>DALI LS/PD CI</t>
  </si>
  <si>
    <t>DALI PRO Sensor Coupler</t>
  </si>
  <si>
    <t>DALI Sensor Coupler HF LS LI</t>
  </si>
  <si>
    <t>DALI Sensor Coupler E</t>
  </si>
  <si>
    <t>DALI REP LI</t>
  </si>
  <si>
    <t>DALI REP SO</t>
  </si>
  <si>
    <t>DALI SWITCH SO</t>
  </si>
  <si>
    <t xml:space="preserve">ZIGBEE 3.0 DALI CONV LI </t>
  </si>
  <si>
    <t xml:space="preserve">KNX PS 640 </t>
  </si>
  <si>
    <t xml:space="preserve">Y-CONNECTOR </t>
  </si>
  <si>
    <t xml:space="preserve">Mounting Adapter </t>
  </si>
  <si>
    <t>LS/PD CI KIT 10</t>
  </si>
  <si>
    <t>Power Supply PS 30</t>
  </si>
  <si>
    <t>LS/PD AP KIT 10</t>
  </si>
  <si>
    <t xml:space="preserve">SENSOR KIT </t>
  </si>
  <si>
    <t>ECO CI Kit SERRA CAVI</t>
  </si>
  <si>
    <t xml:space="preserve">LMS CI BOX </t>
  </si>
  <si>
    <t xml:space="preserve">DALI SENSOR LS/PD LI UF G2 </t>
  </si>
  <si>
    <t>DALI SENSOR LS/PD LI G2</t>
  </si>
  <si>
    <t xml:space="preserve">DALI-2 SENSOR LS/PD HB LI </t>
  </si>
  <si>
    <t>DALI-2 SENSOR PD HB CM</t>
  </si>
  <si>
    <t xml:space="preserve">DALI COUPLER MULTI3 G2 </t>
  </si>
  <si>
    <t>DALI COUPLER LS HIGHBAY G2</t>
  </si>
  <si>
    <t>DALI COUPLER HF G2</t>
  </si>
  <si>
    <t>DALI COUPLER E G2</t>
  </si>
  <si>
    <t xml:space="preserve">Notas: </t>
  </si>
  <si>
    <t>Estes preços de tabela e líquidos anulam todos os anteriores.</t>
  </si>
  <si>
    <t>Preços Líquidos Válidos apenas para Caixas Completas (Lâmpadas LED, Lâmpadas Tradicionais e ECGs)</t>
  </si>
  <si>
    <t xml:space="preserve">* Preços de Tabela sujeitos ao IVA em vigor. </t>
  </si>
  <si>
    <t>Mais informações e condições de garantia em www.ledvance.pt/garantia</t>
  </si>
  <si>
    <t>Tipos de Desconto:</t>
  </si>
  <si>
    <t>Desconto 1 - Cinza</t>
  </si>
  <si>
    <t>Desconto 2 - Laranja</t>
  </si>
  <si>
    <t>Desconto 3 - Azul</t>
  </si>
  <si>
    <t>Desconto 4 - Verde</t>
  </si>
  <si>
    <t>DR DS-P-30/220-240/700 PL FLEX 600</t>
  </si>
  <si>
    <t>SF FLAT RD DALI 500 P CS</t>
  </si>
  <si>
    <t>SF FLAT SQ  DALI 500 P CS</t>
  </si>
  <si>
    <t>DR DS SENS-P-19/220-240/450 SF FL</t>
  </si>
  <si>
    <t>DR DS-SENS-P-27/220-240/650 SF FL</t>
  </si>
  <si>
    <t>SEN SF FLAT LEADER FOLLOWER</t>
  </si>
  <si>
    <t>SF FLAT 330 SQ FRAME SI</t>
  </si>
  <si>
    <t>SF FLAT 330 RD FRAME SI</t>
  </si>
  <si>
    <t>SF FLAT 500 SQ FRAME SI</t>
  </si>
  <si>
    <t>SF FLAT 500 RD FRAME SI</t>
  </si>
  <si>
    <t>LISOEV 330R 830 840 SF FLAT</t>
  </si>
  <si>
    <t>LISOEV 500R 830 840 SF FLAT</t>
  </si>
  <si>
    <t>LISOEV 330SQ 830 840 SF FLAT</t>
  </si>
  <si>
    <t>LISOEV 500SQ 830 840 SF FLAT</t>
  </si>
  <si>
    <t>BULKHEAD COMPACT</t>
  </si>
  <si>
    <t>BLKH RD Eyelid 250 BK</t>
  </si>
  <si>
    <t>BLKH RD Eyelid 250 WT</t>
  </si>
  <si>
    <t>BLKH RD Eyelid 300 BK</t>
  </si>
  <si>
    <t>BLKH RD Eyelid 300 WT</t>
  </si>
  <si>
    <t>DR DS-P-10/220-240/350 BLKH</t>
  </si>
  <si>
    <t>DR DS-P-18/220-240/370 BLKH</t>
  </si>
  <si>
    <t xml:space="preserve">FL PFM 10W/3000K SYM 100 BK        </t>
  </si>
  <si>
    <t xml:space="preserve">FL PFM 10W/3000K SYM 100 WT        </t>
  </si>
  <si>
    <t xml:space="preserve">FL PFM 10W/4000K SYM 100 BK        </t>
  </si>
  <si>
    <t xml:space="preserve">FL PFM 10W/4000K SYM 100 WT        </t>
  </si>
  <si>
    <t xml:space="preserve">FL PFM 10W/6500K SYM 100 BK        </t>
  </si>
  <si>
    <t xml:space="preserve">FL PFM 10W/6500K SYM 100 WT        </t>
  </si>
  <si>
    <t xml:space="preserve">FL PFM 20W/3000K SYM 100 BK        </t>
  </si>
  <si>
    <t xml:space="preserve">FL PFM 20W/3000K SYM 100 WT        </t>
  </si>
  <si>
    <t xml:space="preserve">FL PFM 20W/4000K SYM 100 BK        </t>
  </si>
  <si>
    <t xml:space="preserve">FL PFM 20W/4000K SYM 100 WT        </t>
  </si>
  <si>
    <t xml:space="preserve">FL PFM 20W/6500K SYM 100 BK        </t>
  </si>
  <si>
    <t xml:space="preserve">FL PFM 20W/6500K SYM 100 WT        </t>
  </si>
  <si>
    <t xml:space="preserve">FL PFM 125W/3000K SYM 100 BK       </t>
  </si>
  <si>
    <t xml:space="preserve">FL PFM 125W/4000K SYM 100 BK       </t>
  </si>
  <si>
    <t xml:space="preserve">FL PFM 125W/6500K SYM 100 BK       </t>
  </si>
  <si>
    <t xml:space="preserve">FL PFM 165W/3000K SYM 100 BK       </t>
  </si>
  <si>
    <t xml:space="preserve">FL PFM 165W/4000K SYM 100 BK       </t>
  </si>
  <si>
    <t xml:space="preserve">FL PFM 165W/6500K SYM 100 BK       </t>
  </si>
  <si>
    <t xml:space="preserve">FL PFM 200W/3000K SYM 100 BK       </t>
  </si>
  <si>
    <t xml:space="preserve">FL PFM 200W/4000K SYM 100 BK       </t>
  </si>
  <si>
    <t xml:space="preserve">FL PFM 200W/6500K SYM 100 BK       </t>
  </si>
  <si>
    <t xml:space="preserve">FL PFM 10W/3000K SYM 100 S WT      </t>
  </si>
  <si>
    <t xml:space="preserve">FL PFM 10W/3000K SYM 100 S BK      </t>
  </si>
  <si>
    <t xml:space="preserve">FL PFM 10W/4000K SYM 100 S WT      </t>
  </si>
  <si>
    <t xml:space="preserve">FL PFM 10W/4000K SYM 100 S BK      </t>
  </si>
  <si>
    <t xml:space="preserve">FL PFM 20W/3000K SYM 100 S WT      </t>
  </si>
  <si>
    <t xml:space="preserve">FL PFM 20W/3000K SYM 100 S BK      </t>
  </si>
  <si>
    <t xml:space="preserve">FL PFM 20W/4000K SYM 100 S WT      </t>
  </si>
  <si>
    <t xml:space="preserve">FL PFM 20W/4000K SYM 100 S BK      </t>
  </si>
  <si>
    <t xml:space="preserve">FL PFM 50W/3000K SYM 100 S WT      </t>
  </si>
  <si>
    <t xml:space="preserve">FL PFM 50W/3000K SYM 100 S BK      </t>
  </si>
  <si>
    <t xml:space="preserve">FL PFM 50W/4000K SYM 100 S WT      </t>
  </si>
  <si>
    <t xml:space="preserve">FL PFM 50W/4000K SYM 100 S BK      </t>
  </si>
  <si>
    <t>HB ALU REFLECTOR 415</t>
  </si>
  <si>
    <t>HB ALU REFLECTOR 500</t>
  </si>
  <si>
    <t>HB PC REFRACTOR 415</t>
  </si>
  <si>
    <t>HB PC REFRACTOR 500</t>
  </si>
  <si>
    <t>HB BRACKET 138</t>
  </si>
  <si>
    <t>FLOODLIGHT HIGH  MAST SYM</t>
  </si>
  <si>
    <t>FLOODLIGHT HIGH  MAST ASYM</t>
  </si>
  <si>
    <t>FLOODLIGHT HIGH MAST DRIVER</t>
  </si>
  <si>
    <t>FL HIGH MAST POWER SUPLLY V 300W</t>
  </si>
  <si>
    <t>FL HIGH MAST POWER SUPLLY V 500W</t>
  </si>
  <si>
    <t>FL HIGH MAST CUT OFF HOOD</t>
  </si>
  <si>
    <t>FL HIGH MAST WIRE GUARD</t>
  </si>
  <si>
    <t>LED Vintage 1906 Spiral ULTRA THIN Filaments - Dim CRI90</t>
  </si>
  <si>
    <t>Vintage LED dim CLASSIC A60 40 Clear YES 4,6W/922 E27</t>
  </si>
  <si>
    <t>Vintage LED dim CLASSIC A60 40 Gold YES 5W/927 E27</t>
  </si>
  <si>
    <t>Vintage LED dim CLASSIC A60 60 Clear YES 7,5W/922 E27</t>
  </si>
  <si>
    <t>Vintage LED dim CLASSIC A60 60 Gold YES 8W/922 E27</t>
  </si>
  <si>
    <t>Vintage LED dim CLASSIC B35 25 clear YES 3,1W/927 E14</t>
  </si>
  <si>
    <t>Vintage LED dim CLASSIC B35 25 amber YES 3,5W/922 E14</t>
  </si>
  <si>
    <t>Vintage LED dim CLASSIC P45 40 clear YES 4,6W/927 E14</t>
  </si>
  <si>
    <t>Vintage LED dim CLASSIC P45 40 amber YES 5W/922 E14</t>
  </si>
  <si>
    <t>Vintage LED dim CLASSIC G80 40 clear YES 4,6W/927 E27</t>
  </si>
  <si>
    <t>Vintage LED dim CLASSIC G80 60 clear YES 7,2W/927 E27</t>
  </si>
  <si>
    <t>Vintage LED dim CLASSIC G80 40 amber YES 5W/922 E27</t>
  </si>
  <si>
    <t>Vintage LED dim CLASSIC G80 60 amber YES 8W/922 E27</t>
  </si>
  <si>
    <t>Vintage LED dim CLASSIC G95 60 clear YES 7,2W/927 E27</t>
  </si>
  <si>
    <t>Vintage LED dim CLASSIC G95 40 amber YES 5W/922 E27</t>
  </si>
  <si>
    <t>Vintage LED dim CLASSIC G95 60 amber YES 8W/922 E27</t>
  </si>
  <si>
    <t>Vintage LED dim CLASSIC ST64 60 clear YES 7,2W/927 E27</t>
  </si>
  <si>
    <t>Vintage LED dim CLASSIC ST64 40 amber YES 5W/922 E27</t>
  </si>
  <si>
    <t>Vintage LED dim CLASSIC ST64 60 amber YES 8W/922 E27</t>
  </si>
  <si>
    <t>Vintage LED CLASSIC Globe 220 15 Smoke NON-Dimmable 4,5W/818 E27</t>
  </si>
  <si>
    <t>Vintage LED CLASSIC Ballon 170 15 Smoke NON-Dimmable 4,5W/818 E27</t>
  </si>
  <si>
    <t>Vintage LED dim CLASSIC Globe 200 60 Frosted Dimmable 7,3W/827 E27</t>
  </si>
  <si>
    <t>Vintage LED dim CLASSIC Ballo 170 60 Frosted Dimmable 7,3W/827 E27</t>
  </si>
  <si>
    <t>Vintage LED dim CLASSIC HP135 60 Frosted Dimmable 7,3W/827 E27</t>
  </si>
  <si>
    <t>Vintage LED dim CLASSIC PS160 60 Frosted Dimmable 7,3W/827 E27</t>
  </si>
  <si>
    <t>Vintage LED dim CLASSIC A60 40 Gold YES 5W/922 E27</t>
  </si>
  <si>
    <t>Vintage LED Spiral Filamnet Non-DIM CLASSIC G95 40 Gold 3,4W/827 E27</t>
  </si>
  <si>
    <t>Vintage LED CLASSIC P45 40 Gold NO 5W/922 E14</t>
  </si>
  <si>
    <t>Vintage LED Spiral Filamnet Non-DIM CLASSIC A60 60 clear 5,9W/827 E27</t>
  </si>
  <si>
    <t>Vintage LED Spiral Filamnet Non-DIM CLASSIC A60 40 clear 3,4W/827 E27</t>
  </si>
  <si>
    <t>Vintage LED Spiral Filamnet Non-DIM Edison 40 clear 3,4W/827 E27</t>
  </si>
  <si>
    <t>CLASSIC LED 1906 BIG MAGNETIC PLASTIC NON-DIMMABLE</t>
  </si>
  <si>
    <t>CLASSIC LED 1906 BIG MAGNETIC PLASTIC DIMMABLE</t>
  </si>
  <si>
    <t>Superior Class Spot PAR16 GL 80 DIM 9,5W/927 GU10</t>
  </si>
  <si>
    <t>Superior Class Spot PAR16 GL 80 DIM 9,5W/930 GU10</t>
  </si>
  <si>
    <t>Superior Class Spot PAR16 GL 80 DIM 9,5W/940 GU10</t>
  </si>
  <si>
    <t>PERFORMANCE CLASS Spot PAR16 GL 80 DIM 8,3W/927 GU10</t>
  </si>
  <si>
    <t>PERFORMANCE CLASS Spot PAR16 GL 80 DIM 8,3W/930 GU10</t>
  </si>
  <si>
    <t>PERFORMANCE CLASS Spot PAR16 GL 80 DIM 8,3W/940 GU10</t>
  </si>
  <si>
    <t>PERFORMANCE CLASS Spot PAR16 GL 51 DIM 7,9W/927 GU10</t>
  </si>
  <si>
    <t>PERFORMANCE CLASS Spot PAR16 GL 51 DIM 7,9W/930 GU10</t>
  </si>
  <si>
    <t>PERFORMANCE CLASS Spot PAR16 GL 51 DIM 7,9W/940 GU10</t>
  </si>
  <si>
    <t>PERFORMANCE CLASS Spot PAR16 GL 100 DIM 9,6W/827 GU10</t>
  </si>
  <si>
    <t>PERFORMANCE CLASS Spot PAR16 GL 100 DIM 9,6W/830 GU10</t>
  </si>
  <si>
    <t>PERFORMANCE CLASS Spot PAR16 GL 100 DIM 9,6W/840 GU10</t>
  </si>
  <si>
    <t>PERFORMANCE CLASS Spot PAR16 GL 100 non-dim 9,6W/827 GU10</t>
  </si>
  <si>
    <t>PERFORMANCE CLASS Spot PAR16 GL 100 non-dim 9,6W/830 GU10</t>
  </si>
  <si>
    <t>PERFORMANCE CLASS Spot PAR16 GL 100 non-dim 9,6W/840 GU10</t>
  </si>
  <si>
    <t>Performance Spot MR16 GL 20 non-dim 2,6W/827 GU5.3</t>
  </si>
  <si>
    <t>PERFORMANCE CLASS Spot MR16 GL 20 non-dim 2,6W/827 GU5.3</t>
  </si>
  <si>
    <t>PERFORMANCE CLASS Spot MR16 GL 20 non-dim 2,6W/830 GU5.3</t>
  </si>
  <si>
    <t>PERFORMANCE CLASS Spot MR16 GL 20 non-dim 2,6W/840 GU5.3</t>
  </si>
  <si>
    <t>SUPERIOR CLASS CLASSIC A FIL 60 non-dim 7,3W/827 E27</t>
  </si>
  <si>
    <t>PERFORMANCE CLASS Spot MR11 GL 20 non-dim 2,5W/827 GU4</t>
  </si>
  <si>
    <t>PERFORMANCE CLASS Spot MR11 GL 20 non-dim 2,5W/840 GU4</t>
  </si>
  <si>
    <t>LEDVANCE LED TUBE T8 EM Ultra Output High Temperature Superior Class (CCG/AC Mains)</t>
  </si>
  <si>
    <t>LEDTUBE T8 EM UO HT S 1500 22.1W840</t>
  </si>
  <si>
    <t>LEDVANCE LED TUBE T8 EM Ultra Output Highbay Superior Class (CCG/AC Mains)</t>
  </si>
  <si>
    <t>LEDTUBE T8 EM UO HB S 1500 22.1W840</t>
  </si>
  <si>
    <t>LEDVANCE LED TUBE T8 EM Energy Efficiency Class A Superior Class (CCG/AC Mains)</t>
  </si>
  <si>
    <t>LEDVANCE LED TUBE T8 EM Chip Control Superior Class (CCG/AC Mains)</t>
  </si>
  <si>
    <t>LEDVANCE LED T5 FC EXTERNAL P</t>
  </si>
  <si>
    <t>Superior Class CLASSIC A FIL 75 DIM 5,7W/827 E27</t>
  </si>
  <si>
    <t>Superior Class CLASSIC A FIL 100 DIM 8,2W/827 E27</t>
  </si>
  <si>
    <t>Superior Class CLASSIC A GLFR 75 DIM 5,7W/827 E27</t>
  </si>
  <si>
    <t>Superior Class CLASSIC A GLFR 100 DIM 8,2W/827 E27</t>
  </si>
  <si>
    <t>Superior Class CLASSIC P FIL 40 DIM 2,9W/827 E14</t>
  </si>
  <si>
    <t>Superior Class CLASSIC B FIL 40 DIM 2,9W/827 E14</t>
  </si>
  <si>
    <t>Superior Class CLASSIC P GLFR 40 DIM 2,9W/827 E14</t>
  </si>
  <si>
    <t>Superior Class CLASSIC B GLFR 40 DIM 2,9W/827 E14</t>
  </si>
  <si>
    <t>Superior Class Spot PAR16 GL 50 non-dim 2W/827 GU10</t>
  </si>
  <si>
    <t>Superior Class CLASSIC A FIL 60 non-dim 3,8W/830 E27</t>
  </si>
  <si>
    <t>Superior Class CLASSIC A FIL 40 non-dim 2,2W/830 E27</t>
  </si>
  <si>
    <t>Superior Class CLASSIC A GL FR 60 non-dim 3,8W/830 E27</t>
  </si>
  <si>
    <t>Superior Class CLASSIC A GL FR 40 non-dim 2,2W/830 E27</t>
  </si>
  <si>
    <t>Superior Class CLASSIC A FIL 100 non-dim 7,2W/830 E27</t>
  </si>
  <si>
    <t>Superior Class CLASSIC A GL FR 100 non-dim 7,2W/830 E27</t>
  </si>
  <si>
    <t>Superior Class CLASSIC GLOBE95 FIL 60 non-dim 3,8W/830 E27</t>
  </si>
  <si>
    <t>Superior Class CLASSIC GLOBE95 GL FR 60 non-dim 3,8W/830 E27</t>
  </si>
  <si>
    <t>HIGH BAY DALI GER 5</t>
  </si>
  <si>
    <t xml:space="preserve">FLOODLIGHT GER 4 </t>
  </si>
  <si>
    <t>CLASSIC LED  ENERGY CLASS A DIM</t>
  </si>
  <si>
    <t>PERFORMANCE CLASS CLASSIC B GL FR 60 DIM 5,5W/827 E14</t>
  </si>
  <si>
    <t>PERFORMANCE CLASS CLASSIC P GL FR 60 DIM 5,5W/827 E14</t>
  </si>
  <si>
    <t>LED SUPERSTAR+ Classic A 40 3X ACT/REL 827/840 FR E27</t>
  </si>
  <si>
    <t>LED SUPERSTAR+ Classic A 60 3X ACT/REL 827/840 FR E27</t>
  </si>
  <si>
    <t>LED SUPERSTAR+ Classic B 40 3X ACT/REL 827/840 FR E14</t>
  </si>
  <si>
    <t>LED SUPERSTAR+ Classic P 40 3X ACT/REL 827/840 FR E14</t>
  </si>
  <si>
    <t>Superior Class CLASSIC EDISON FIL 60 non-dim 3,8W/830 E27</t>
  </si>
  <si>
    <t>Fita Led LS P-1500/927/5/IP67  (rolo de 5m - 15,6W/m)</t>
  </si>
  <si>
    <t>Fita Led LS P-1500/930/5/IP67  (rolo de 5m - 15,6W/m)</t>
  </si>
  <si>
    <t>Fita Led LS P-1500/940/5/IP67  (rolo de 5m - 15,6W/m)</t>
  </si>
  <si>
    <t>Fita Led LS P-1500/965/5/IP67  (rolo de 5m - 15,6W/m)</t>
  </si>
  <si>
    <t>LN INV CORNER CONNECTOR BK</t>
  </si>
  <si>
    <t>LN INV INFILL 1200 BK</t>
  </si>
  <si>
    <t>LN INV INFILL 1500 BK</t>
  </si>
  <si>
    <t>LN INV INFILL 600 BK</t>
  </si>
  <si>
    <t>LN INV SUSPENSION KIT BK</t>
  </si>
  <si>
    <t>PANEL  600 Suspension Kit (kit  de suspensão)</t>
  </si>
  <si>
    <t>TRUSYS UNIV FEED IN 5P</t>
  </si>
  <si>
    <t>TRUSYS UNIV FEED IN 7P</t>
  </si>
  <si>
    <t>TRUSYS UNIV BLIND COVER</t>
  </si>
  <si>
    <t>TRUSYS UNIV 1500 5P WIRES</t>
  </si>
  <si>
    <t>TRUSYS UNIV 1500 7P WIRES</t>
  </si>
  <si>
    <t>TRUSYS UNIV 3000 5P WIRES</t>
  </si>
  <si>
    <t>TRUSYS UNIV 3000 7P WIRES</t>
  </si>
  <si>
    <t>TRUSYS UNIV SAFETY ROPE</t>
  </si>
  <si>
    <t>TRUSYS UNIVERSAL</t>
  </si>
  <si>
    <t>TRUSYS UNIVERSAL DALI</t>
  </si>
  <si>
    <t>HB DALI 93W/4000K 70DEG IP65</t>
  </si>
  <si>
    <t>HB DALI 93W/4000K 110DEG IP65</t>
  </si>
  <si>
    <t>HB DALI 155W/4000K 70DEG IP65</t>
  </si>
  <si>
    <t>HB DALI 155W/4000K 110DEG IP65</t>
  </si>
  <si>
    <t>HB DALI 190W/4000K 110DEG IP65</t>
  </si>
  <si>
    <t xml:space="preserve">FLOODLIGHT FLEX </t>
  </si>
  <si>
    <t>FL PFM 50W/3000K ASYM 45X140 BK    LEDV</t>
  </si>
  <si>
    <t>FL PFM 50W/3000K ASYM 55X110 BK    LEDV</t>
  </si>
  <si>
    <t>FL PFM 50W/4000K ASYM 45X140 BK    LEDV</t>
  </si>
  <si>
    <t>FL PFM 50W/4000K ASYM 55X110 BK    LEDV</t>
  </si>
  <si>
    <t>FL PFM 100W/3000K ASYM 45X140 BK   LEDV</t>
  </si>
  <si>
    <t>FL PFM 100W/3000K ASYM 55X110 BK   LEDV</t>
  </si>
  <si>
    <t>FL PFM 100W/4000K ASYM 45X140 BK   LEDV</t>
  </si>
  <si>
    <t>FL PFM 100W/4000K ASYM 55X110 BK   LEDV</t>
  </si>
  <si>
    <t>FL PFM 150W/3000K ASYM 45X140 BK   LEDV</t>
  </si>
  <si>
    <t>FL PFM 150W/3000K ASYM 55X110 BK   LEDV</t>
  </si>
  <si>
    <t>FL PFM 150W/3000K SYM 60 BK        LEDV</t>
  </si>
  <si>
    <t>FL PFM 150W/3000K SYM R30 BK       LEDV</t>
  </si>
  <si>
    <t>FL PFM 150W/4000K ASYM 45X140 BK   LEDV</t>
  </si>
  <si>
    <t>FL PFM 150W/4000K ASYM 55X110 BK   LEDV</t>
  </si>
  <si>
    <t>FL PFM 150W/4000K SYM 60 BK        LEDV</t>
  </si>
  <si>
    <t>FL PFM 150W/4000K SYM R30 BK       LEDV</t>
  </si>
  <si>
    <t>FL PFM 200W/3000K ASYM 45X140 BK   LEDV</t>
  </si>
  <si>
    <t>FL PFM 200W/3000K ASYM 55X110 BK   LEDV</t>
  </si>
  <si>
    <t>FL PFM 200W/3000K SYM 60 BK        LEDV</t>
  </si>
  <si>
    <t>FL PFM 200W/3000K SYM R30 BK       LEDV</t>
  </si>
  <si>
    <t>FL PFM 200W/4000K ASYM 45X140 BK   LEDV</t>
  </si>
  <si>
    <t>FL PFM 200W/4000K ASYM 55X110 BK   LEDV</t>
  </si>
  <si>
    <t>FL PFM 200W/4000K SYM 60 BK        LEDV</t>
  </si>
  <si>
    <t>FL PFM 200W/4000K SYM R30 BK       LEDV</t>
  </si>
  <si>
    <t>FL PFM 290W/3000K ASYM 45X140 BK   LEDV</t>
  </si>
  <si>
    <t>FL PFM 290W/3000K ASYM 55X110 BK   LEDV</t>
  </si>
  <si>
    <t>FL PFM 290W/3000K SYM 60 BK        LEDV</t>
  </si>
  <si>
    <t>FL PFM 290W/3000K SYM R30 BK       LEDV</t>
  </si>
  <si>
    <t>FL PFM 290W/4000K ASYM 45X140 BK   LEDV</t>
  </si>
  <si>
    <t>FL PFM 290W/4000K ASYM 55X110 BK   LEDV</t>
  </si>
  <si>
    <t>FL PFM 290W/4000K SYM 60 BK        LEDV</t>
  </si>
  <si>
    <t>FL PFM 290W/4000K SYM R30 BK       LEDV</t>
  </si>
  <si>
    <t>FLOODLIGHT FLEX  DALI</t>
  </si>
  <si>
    <t>URBAN LANTERN</t>
  </si>
  <si>
    <t>DR DS-P-40/220-240/475 L NSV</t>
  </si>
  <si>
    <t>DR DS-P-60/220-240/625 L NSV</t>
  </si>
  <si>
    <t>DR DS-P-90/220-240/775 L NSV</t>
  </si>
  <si>
    <t>DR DS-P-150/220-240/925 L NSV</t>
  </si>
  <si>
    <t>LED STRIP Accessory IP00</t>
  </si>
  <si>
    <t>LED STRIP Accessory IP67</t>
  </si>
  <si>
    <t>MCU SELECT DALI-2 LEDVANCE</t>
  </si>
  <si>
    <t>MCU TOUCH DALI-2 LEDVANCE</t>
  </si>
  <si>
    <t>SENSOR DALI-2 LS-PD-6 IR CI LEDVANCE</t>
  </si>
  <si>
    <t>SURFACE MOUNT FRAME LEDVANCE</t>
  </si>
  <si>
    <t>SENSOR DALI-2 LS-PD-8 IR CI LEDVANCE</t>
  </si>
  <si>
    <t>SENSOR DALI-2 LS-PD-16X3 IR CI LEDVANCE</t>
  </si>
  <si>
    <t>SENSOR DALI-2 LS-PD-24 IR CM LEDVANCE</t>
  </si>
  <si>
    <t>SENSOR CM KIT LEDVANCE</t>
  </si>
  <si>
    <t>DALI Controller</t>
  </si>
  <si>
    <t>DALI SENSOR</t>
  </si>
  <si>
    <t>DALI SENSOR ACCESSORY</t>
  </si>
  <si>
    <t>PERFORMANCE CLASS SPECIAL PIN 20 DIM 2W/827 clear G4</t>
  </si>
  <si>
    <t>PERFORMANCE CLASS SPECIAL PIN CL 20 non-dim 1,5W/827 G4</t>
  </si>
  <si>
    <t>PERFORMANCE CLASS SPECIAL PIN CL 20 non-dim 1,8W/827 G4</t>
  </si>
  <si>
    <t>PERFORMANCE CLASS SPECIAL PIN CL 28 non-dim 2,2W/827 G4</t>
  </si>
  <si>
    <t>PERFORMANCE CLASS SPECIAL PIN CL 28 non-dim 2,6W/827 G4</t>
  </si>
  <si>
    <t>PERFORMANCE CLASS SPECIAL PIN CL 28 non-dim 2,2W/827 GY6.35</t>
  </si>
  <si>
    <t>PERFORMANCE CLASS SPECIAL PIN CL 28 non-dim 2,6W/827 GY6.35</t>
  </si>
  <si>
    <t>PERFORMANCE CLASS SPECIAL PIN CL 40 non-dim 3,3W/827 GY6.35</t>
  </si>
  <si>
    <t>PERFORMANCE CLASS SPECIAL PIN CL 48 DIM 4,4W/827 G9</t>
  </si>
  <si>
    <t>PERFORMANCE CLASS SPECIAL PIN CL 20 non-dim 1,9W/827 G9</t>
  </si>
  <si>
    <t>PERFORMANCE CLASS SPECIAL PIN CL 30 non-dim 2,6W/827 G9</t>
  </si>
  <si>
    <t>PERFORMANCE CLASS SPECIAL PIN CL 30 non-dim 2,6W/840 G9</t>
  </si>
  <si>
    <t>PERFORMANCE CLASS SPECIAL PIN CL 40 non-dim 4,2W/827 G9</t>
  </si>
  <si>
    <t>PERFORMANCE CLASS SPECIAL PIN CL 40 non-dim 4,2W/840 G9</t>
  </si>
  <si>
    <t>PERFORMANCE CLASS SPECIAL PIN CL 48 non-dim 4,5W/827 G9</t>
  </si>
  <si>
    <t>PERFORMANCE CLASS SPECIAL PIN CL 50 non-dim 4,8W/827 G9</t>
  </si>
  <si>
    <t>PERFORMANCE CLASS SPECIAL PIN CL 48 non-dim 4,5W/840 G9</t>
  </si>
  <si>
    <t>PERFORMANCE CLASS SPECIAL PIN CL 50 non-dim 4,8W/840 G9</t>
  </si>
  <si>
    <t>PERFORMANCE CLASS SPECIAL PIN CL 60 non-dim XW/827 G9</t>
  </si>
  <si>
    <t>PERFORMANCE CLASS SPECIAL PIN CL 60 non-dim XW/840 G9</t>
  </si>
  <si>
    <t xml:space="preserve"> </t>
  </si>
  <si>
    <t>PERFORMANCE CLASS SPECIAL LINE 118 CL 177 non-dim 20W/830 R7S</t>
  </si>
  <si>
    <t xml:space="preserve">FLOODLIGHT  SENSOR GER 4 </t>
  </si>
  <si>
    <t>FLOODLIGHT  COMPACT VALUE SENSOR ( Motion + Light ) GER 2</t>
  </si>
  <si>
    <t>LEDVANCE Connected Sensor GER 2 TBC</t>
  </si>
  <si>
    <t>Connected Sensor ST8 LB GER 2</t>
  </si>
  <si>
    <t>Connected Sensor ST8 HB GER 2</t>
  </si>
  <si>
    <t>LEDVANCE LEDTUBE T8 UNIVERSAL UO P GER 11 (ECG+CCG+AC Mains)</t>
  </si>
  <si>
    <t>LEDVANCE LEDTUBE T8 UNIVERSAL VALUE GER 11 (ECG+CCG+AC Mains)</t>
  </si>
  <si>
    <t>LEDVANCE LEDTUBE T8 HF UO P GER 11 (ECG)</t>
  </si>
  <si>
    <t>LEDVANCE LEDTUBE T8 HF P GER 11 (ECG)</t>
  </si>
  <si>
    <t>LEDVANCE LEDTUBE T8 UNIVERSAL P GER 11 (ECG+CCG+AC Mains)</t>
  </si>
  <si>
    <t>SLIM LINE GLASS R7s</t>
  </si>
  <si>
    <t>LED SLIM LINE 78 40 827 GLASS 230V R7S  OSRAM</t>
  </si>
  <si>
    <t>LED SLIM LINE 78 40 840 GLASS 230V R7S  OSRAM</t>
  </si>
  <si>
    <t>LED SLIM LINE 118 60 827 GLASS 230V R7S OSRAM</t>
  </si>
  <si>
    <t>LED SLIM LINE 118 60 840 GLASS 230V R7S OSRAM</t>
  </si>
  <si>
    <t>LED SPECIAL T26  DIM</t>
  </si>
  <si>
    <t>LED PIN G9 GLAS</t>
  </si>
  <si>
    <t>SUPERIOR CLASSIC B LED  ENERGY CLASS A</t>
  </si>
  <si>
    <t>SUPERIOR CLASSIC P LED  ENERGY CLASS A</t>
  </si>
  <si>
    <t>LINEAR INDIVILED® Direct GER 2 EMERGÊNCIA</t>
  </si>
  <si>
    <t>LINEAR INDIVILED® Direct/Indirect EMERGÊNCIA</t>
  </si>
  <si>
    <t>FITA LED PERFORMANCE 230V AC IP66</t>
  </si>
  <si>
    <t>Ligador Fita-Fita LS AY AC-CSW/P2/100/P</t>
  </si>
  <si>
    <t>Clip de Montagem LS AY AC-12/SMB</t>
  </si>
  <si>
    <t>PERFORMANCE CLASS CLASSIC B GL FR 60 DIM 5.9W/827 E14</t>
  </si>
  <si>
    <t>SUPERIOR CLASSIC A LED  ENERGY CLASS B DIM</t>
  </si>
  <si>
    <t>SUPERIOR CLASSIC B LED  ENERGY CLASS C DIM</t>
  </si>
  <si>
    <t>SUPERIOR CLASSIC P LED  ENERGY CLASS C DIM</t>
  </si>
  <si>
    <t>SUPERIOR CLASSIC LED  ENERGY CLASS A CLASSIC A</t>
  </si>
  <si>
    <t>SUPERIOR CLASS Spot PAR16 GL 50 dim 6W/927 GU10</t>
  </si>
  <si>
    <t>SUPERIOR CLASS Spot PAR16 GL 50 dim 6W/930 GU10</t>
  </si>
  <si>
    <t>SUPERIOR CLASS Spot PAR16 GL 50 dim 6W/940 GU10</t>
  </si>
  <si>
    <t>PERFORMANCE CLASS SPECIAL T26 FIL 55 non-dim 6.5W/827 E14</t>
  </si>
  <si>
    <t>PERFORMANCE CLASS SPECIAL T26 FIL 5 non-dim 1W/824 E14</t>
  </si>
  <si>
    <t>PERFORMANCE CLASS SPECIAL PIN MICRO CL 10 non-dim 1W/827 G4</t>
  </si>
  <si>
    <t>SUPERIOR CLASS Spot PAR16 GL 50 GLOWdim 4.5W/827 GU10</t>
  </si>
  <si>
    <t>SUPERIOR CLASS  CLASSIC A FIL 40 non-dim 4.9W/827 E27 DaylightSensor</t>
  </si>
  <si>
    <t>SUPERIOR CLASS  CLASSIC A FIL 60 non-dim 7.3W/827 E27 DaylightSensor</t>
  </si>
  <si>
    <t>VALUE CLASS CLASSIC A FIL 40 non-dim 4W/827 E27</t>
  </si>
  <si>
    <t>VALUE CLASS CLASSIC A 40 FR non-dim 4.9W/827 E27</t>
  </si>
  <si>
    <t>VALUE CLASS CLASSIC A 40 FR non-dim 4.9W/840 E27</t>
  </si>
  <si>
    <t>VALUE CLASS CLASSIC A 40 FR non-dim 4.9W/865 E27</t>
  </si>
  <si>
    <t>VALUE CLASS CLASSIC A FIL 60 non-dim 6.5W/827 E27</t>
  </si>
  <si>
    <t>VALUE CLASS CLASSIC A FIL 60 non-dim 6.5W/840 E27</t>
  </si>
  <si>
    <t>VALUE CLASS CLASSIC A 60 FR non-dim 8.5W/827 E27</t>
  </si>
  <si>
    <t>VALUE CLASS CLASSIC A 60 FR non-dim 8.5W/840 E27</t>
  </si>
  <si>
    <t>VALUE CLASS CLASSIC A 60 FR non-dim 8.5W/865 E27</t>
  </si>
  <si>
    <t>VALUE CLASS CLASSIC A FIL 75 non-dim 7.5W/827 E27</t>
  </si>
  <si>
    <t>VALUE CLASS CLASSIC A FIL 75 non-dim 7.5W/840 E27</t>
  </si>
  <si>
    <t>VALUE CLASS CLASSIC A 75 FR non-dim 10W/827 E27</t>
  </si>
  <si>
    <t>VALUE CLASS CLASSIC A 75 FR non-dim 10W/840 E27</t>
  </si>
  <si>
    <t>VALUE CLASS CLASSIC A FIL 100 non-dim 11W/827 E27</t>
  </si>
  <si>
    <t>VALUE CLASS CLASSIC A FIL 100 non-dim 11W/840 E27</t>
  </si>
  <si>
    <t>VALUE CLASS CLASSIC A 100 FR non-dim 13W/827 E27</t>
  </si>
  <si>
    <t>VALUE CLASS CLASSIC A 100 FR non-dim 13W/840 E27</t>
  </si>
  <si>
    <t>VALUE CLASS CLASSIC A 100 FR non-dim 13W/865 E27</t>
  </si>
  <si>
    <t>VALUE CLASS CLASSIC B FIL 40 non-dim 4W/827 E14</t>
  </si>
  <si>
    <t>VALUE CLASS CLASSIC B 40 FR non-dim 4.9W/827 E14</t>
  </si>
  <si>
    <t>VALUE CLASS CLASSIC B 40 FR non-dim 4.9W/840 E14</t>
  </si>
  <si>
    <t>VALUE CLASS CLASSIC B 40 FR non-dim 4.9W/865 E14</t>
  </si>
  <si>
    <t>VALUE CLASS CLASSIC B 60 FR non-dim 7.5W/827 E14</t>
  </si>
  <si>
    <t>VALUE CLASS CLASSIC P FIL 40 non-dim 4W/827 E14</t>
  </si>
  <si>
    <t>VALUE CLASS CLASSIC P 40 FR non-dim 4.9W/827 E14</t>
  </si>
  <si>
    <t>VALUE CLASS CLASSIC P 40 FR non-dim 4.9W/840 E14</t>
  </si>
  <si>
    <t>VALUE CLASS CLASSIC P 40 FR non-dim 4.9W/865 E14</t>
  </si>
  <si>
    <t>VALUE CLASS CLASSIC P 60 FR non-dim 7.5W/827 E14</t>
  </si>
  <si>
    <t>SUPERIOR CLASS Spot MR16 GL 20 dim 3.6W/927 GU5.3</t>
  </si>
  <si>
    <t>SUPERIOR CLASS Spot MR16 GL 20 dim 3.6W/930 GU5.3</t>
  </si>
  <si>
    <t>SUPERIOR CLASS Spot MR16 GL 20 dim 3.6W/940 GU5.3</t>
  </si>
  <si>
    <t>SUPERIOR CLASS pot MR16 GL 35 DIM 6.3W/927 GU5.3</t>
  </si>
  <si>
    <t>SUPERIOR CLASS pot MR16 GL 35 DIM 6.3W/930 GU5.3</t>
  </si>
  <si>
    <t>SUPERIOR CLASS pot MR16 GL 35 DIM 6.3W/940 GU5.3</t>
  </si>
  <si>
    <t>SUPERIOR CLASS pot MR16 GL 43 DIM 6.6W/927 GU5.3</t>
  </si>
  <si>
    <t>SUPERIOR CLASS pot MR16 GL 43 DIM 6.6W/930 GU5.3</t>
  </si>
  <si>
    <t>SUPERIOR CLASS pot MR16 GL 43 DIM 6.6W/940 GU5.3</t>
  </si>
  <si>
    <t>SUPERIOR CLASS Spot MR16 GL 50 DIM 8W/927 GU5.3</t>
  </si>
  <si>
    <t>SUPERIOR CLASS Spot MR16 GL 50 DIM 8W/940 GU5.3</t>
  </si>
  <si>
    <t xml:space="preserve">  Vintage 1906  dim Magnetic Classic Elipsie P215 6 Smoke YES 4W/818 E27</t>
  </si>
  <si>
    <t xml:space="preserve">  Vintage 1906  dim Magnetic Classic Oval W187 10 Smoke YES 4,8W/818 E27</t>
  </si>
  <si>
    <t xml:space="preserve">  Vintage 1906  dim Magnetic Classic Elipse/Oval WG145 10 Smoke YES 4,8W/818 E27</t>
  </si>
  <si>
    <t xml:space="preserve">  Vintage 1906  dim Magnetic Classic Globe G200 10 Smoke YES 4,8W/818 E27</t>
  </si>
  <si>
    <t>SUPERIOR CLASS CLASSIC A FIL 60 DIM 7.2W/927 E27</t>
  </si>
  <si>
    <t>SUPERIOR CLASS CLASSIC A FIL 75 DIM 9.5W/927 E27</t>
  </si>
  <si>
    <t>SUPERIOR CLASS CLASSIC A FIL 100 DIM 13.8W/927 E27</t>
  </si>
  <si>
    <t>SUPERIOR CLASS CLASSIC A GLFR 60 DIM 7.2W/927 E27</t>
  </si>
  <si>
    <t>SUPERIOR CLASS CLASSIC A GLFR 75 DIM 9.5W/927 E27</t>
  </si>
  <si>
    <t>SUPERIOR CLASS CLASSIC A GLFR 100 DIM 13.8W/927 E27</t>
  </si>
  <si>
    <t>SUPERIOR CLASS CLASSIC P FIL 40 DIM 4.2W/927 E14</t>
  </si>
  <si>
    <t>SUPERIOR CLASS CLASSIC B FIL 40 DIM 4.2W/927 E14</t>
  </si>
  <si>
    <t>SUPERIOR CLASS CLASSIC P GLFR 40 DIM 4.2W/927 E14</t>
  </si>
  <si>
    <t>SUPERIOR CLASS CLASSIC B GLFR 40 DIM 4.2W/927 E14</t>
  </si>
  <si>
    <t>SUPERIOR CLASS CLASSIC A FIL  40 DIM 4.2W/927 E27</t>
  </si>
  <si>
    <t>SUPERIOR CLASS CLASSIC A GLFR 40 DIM 4.2W/927 E27</t>
  </si>
  <si>
    <t>SUPERIOR CLASS CLASSIC P FIL 40 DIM 4.2W/927 E27</t>
  </si>
  <si>
    <t>SUPERIOR CLASS CLASSIC A FIL 75 DIM 5.7W/827 E27</t>
  </si>
  <si>
    <t>SUPERIOR CLASS CLASSIC A FIL 100 DIM 8.2W/827 E27</t>
  </si>
  <si>
    <t>SUPERIOR CLASS CLASSIC A GLFR 75 DIM 5.7W/827 E27</t>
  </si>
  <si>
    <t>SUPERIOR CLASS CLASSIC A GLFR 100 DIM 8.2W/827 E27</t>
  </si>
  <si>
    <t>SUPERIOR CLASS CLASSIC B FIL 40 DIM 2.9W/827 E14</t>
  </si>
  <si>
    <t>SUPERIOR CLASS CLASSIC P FIL 40 DIM 2.9W/827 E14</t>
  </si>
  <si>
    <t>Vintage 1906 Magnetic dim CLASSIC Elipse P300 42 amber YES 12W/818 E27</t>
  </si>
  <si>
    <t>Vintage 1906 Magnetic dim CLASSIC Oval W250 45 amber YES 12W/818 E27</t>
  </si>
  <si>
    <t>Vintage 1906 Magnetic dim CLASSIC Elipse/Oval WG200 42 amber YES 12W/818 E27</t>
  </si>
  <si>
    <t>Vintage 1906 Magnetic dim CLASSIC Elipse P300 32 Smoke YES 12W/818 E27</t>
  </si>
  <si>
    <t>Vintage 1906 Magnetic dim CLASSIC Oval W250 35 Smoke YES 12W/818 E27</t>
  </si>
  <si>
    <t>Vintage 1906 Magnetic dim CLASSIC Elipse/Oval WG200 28 Smoke YES 12W/818 E27</t>
  </si>
  <si>
    <t>OT FIT 55/220-240/1AO CS L G2</t>
  </si>
  <si>
    <t>HIGH BAY  SENSOR GER 4 (1-10V)</t>
  </si>
  <si>
    <t>Fita Led LS PFM-1000/RGBW/827/5  (rolo de 5m - 20W/m)</t>
  </si>
  <si>
    <t>Fita Led LS PFM-1000/RGBW/830/5  (rolo de 5m - 20W/m)</t>
  </si>
  <si>
    <t>Fita Led LS PFM-1000/RGBW/840/5  (rolo de 5m - 20W/m)</t>
  </si>
  <si>
    <t>Fita Led LS PFM-1000/RGBW/865/5  (rolo de 5m - 20W/m)</t>
  </si>
  <si>
    <t>Fita Led LS PFM-1000/RGBW/827/5/IP66  (rolo de 5m - 20W/m)</t>
  </si>
  <si>
    <t>Fita Led LS PFM-1000/RGBW/830/5/IP66  (rolo de 5m - 20W/m)</t>
  </si>
  <si>
    <t>Fita Led LS PFM-1000/RGBW/840/5/IP66  (rolo de 5m - 20W/m)</t>
  </si>
  <si>
    <t>Fita Led LS PFM-1000/RGBW/865/5/IP66  (rolo de 5m - 20W/m)</t>
  </si>
  <si>
    <t>Fita Led LS P-1000/RGBW/927/5 (rolo de 5m - 21W/m)</t>
  </si>
  <si>
    <t>Fita Led LS P-1000/RGBW/930/5 (rolo de 5m - 21W/m)</t>
  </si>
  <si>
    <t>Fita Led LS P-1000/RGBW/940/5 (rolo de 5m - 21W/m)</t>
  </si>
  <si>
    <t>Fita Led LS P-1000/RGBW/965/5 (rolo de 5m - 21W/m)</t>
  </si>
  <si>
    <t>Fita Led LS P-1000/RGBW/927/5/IP67 (rolo de 5m - 21W/m)</t>
  </si>
  <si>
    <t>Fita Led LS P-1000/RGBW/930/5/IP67 (rolo de 5m - 21W/m)</t>
  </si>
  <si>
    <t>Fita Led LS P-1000/RGBW/940/5/IP67 (rolo de 5m - 21W/m)</t>
  </si>
  <si>
    <t>Fita Led LS P-1000/RGBW/965/5/IP67 (rolo de 5m - 21W/m)</t>
  </si>
  <si>
    <t xml:space="preserve">Fita Led LS P  AC 1200/830/50M/IP66 (rolo de 50m - 12W/m)     </t>
  </si>
  <si>
    <t xml:space="preserve">Fita Led LS P  AC 1200/840/50M/IP66 (rolo de 50m - 12W/m)          </t>
  </si>
  <si>
    <t xml:space="preserve">Fita Led LS P AC 1200/865/50M/IP66 (rolo de 50m - 12W/m)          </t>
  </si>
  <si>
    <t>Ligador Fita-Driver LS AY AC-CD/P2/200/P</t>
  </si>
  <si>
    <t>Ligador Fita-AC Direto  LS AY AC-CP/P2/300/P</t>
  </si>
  <si>
    <t>LEDVANCE DRIVER LED T5 FC EXTERNAL P</t>
  </si>
  <si>
    <t>SUPERIOR CLASSIC LED  ENERGY CLASS A GLOBE</t>
  </si>
  <si>
    <t>SUPERIOR CLASS CLASSIC B FR 40 DIM 2.9W/827 E14</t>
  </si>
  <si>
    <t>SUPERIOR CLASS CLASSIC P FR 40 DIM 2.9W/827 E14</t>
  </si>
  <si>
    <t>PERFORMANCE CLASS Spot PAR16 35 36º DIM 3.4W/927 GU10</t>
  </si>
  <si>
    <t>PERFORMANCE CLASS Spot PAR16 35 36º DIM 3.4W/930 GU10</t>
  </si>
  <si>
    <t>PERFORMANCE CLASS Spot PAR16 35 36º DIM 3.4W/940 GU10</t>
  </si>
  <si>
    <t>PERFORMANCE CLASS Spot PAR16 50 36º DIM 4.5W/927 GU10</t>
  </si>
  <si>
    <t>PERFORMANCE CLASS Spot PAR16 50 36º DIM 4.5W/930 GU10</t>
  </si>
  <si>
    <t>PERFORMANCE CLASS Spot PAR16 50 36º DIM 4.5W/940 GU10</t>
  </si>
  <si>
    <t>PERFORMANCE CLASS Spot PAR16 35 36º non-dim 2.6W/827 GU10</t>
  </si>
  <si>
    <t>PERFORMANCE CLASS Spot PAR16 35 36º non-dim 2.6W/830 GU10</t>
  </si>
  <si>
    <t>PERFORMANCE CLASS Spot PAR16 35 36º non-dim 2.6W/840 GU10</t>
  </si>
  <si>
    <t>PERFORMANCE CLASS Spot PAR16 50 36º non-dim 4.3W/827 GU10</t>
  </si>
  <si>
    <t>PERFORMANCE CLASS Spot PAR16 50 36º non-dim 4.3W/830 GU10</t>
  </si>
  <si>
    <t>PERFORMANCE CLASS Spot PAR16 50 36º non-dim 4.3W/840 GU10</t>
  </si>
  <si>
    <t>PERFORMANCE CLASS Spot PAR16 50 120º non-dim 4.3W/827 GU10</t>
  </si>
  <si>
    <t>PERFORMANCE CLASS Spot PAR16 50 120º non-dim 4.3W/830 GU10</t>
  </si>
  <si>
    <t>PERFORMANCE CLASS Spot PAR16 50 120º non-dim 4.3W/840 GU10</t>
  </si>
  <si>
    <t>PERFORMANCE CLASS Spot PAR16 80 36º non-dim 6.9W/827 GU10</t>
  </si>
  <si>
    <t>PERFORMANCE CLASS Spot PAR16 80 120º non-dim 6.9W/827 GU10</t>
  </si>
  <si>
    <t>PERFORMANCE CLASS Spot PAR16 80 120º non-dim 6.9W/830 GU10</t>
  </si>
  <si>
    <t>PERFORMANCE CLASS Spot PAR16 80 120º non-dim 6.9W/840 GU10</t>
  </si>
  <si>
    <t>PERFORMANCE CLASS Spot PAR16 80 36º non-dim 6.9W/830 GU10</t>
  </si>
  <si>
    <t>PERFORMANCE CLASS Spot PAR16 80 36º non-dim 6.9W/840 GU10</t>
  </si>
  <si>
    <t>PERFORMANCE CLASS Spot PAR16 80 60º non-dim 6.9W/827 GU10</t>
  </si>
  <si>
    <t>PERFORMANCE CLASS Spot PAR16 80 60º non-dim 6.9W/830 GU10</t>
  </si>
  <si>
    <t>PERFORMANCE CLASS Spot PAR16 80 60º non-dim 6.9W/840 GU10</t>
  </si>
  <si>
    <t>PERFORMANCE CLASS Spot PAR16 100 36º non-dim 8W/827 GU10</t>
  </si>
  <si>
    <t>PERFORMANCE CLASS Spot PAR16 100 36º non-dim 8W/830 GU10</t>
  </si>
  <si>
    <t>PERFORMANCE CLASS Spot PAR16 100 36º non-dim 7W/840 GU10</t>
  </si>
  <si>
    <t>VALUE CLASS Spot PAR16 50 36º non-dim 4.3W/827 GU10</t>
  </si>
  <si>
    <t>VALUE CLASS Spot PAR16 50 36º non-dim 4.3W/830 GU10</t>
  </si>
  <si>
    <t>VALUE CLASS Spot PAR16 50 36º non-dim 4.3W/840 GU10</t>
  </si>
  <si>
    <t>VALUE CLASS Spot PAR16 50 36º non-dim 4.3W/865 GU10</t>
  </si>
  <si>
    <t>VALUE CLASS Spot PAR16 80 36º non-dim 6.9W/830 GU10</t>
  </si>
  <si>
    <t>VALUE CLASS Spot PAR16 80 36º non-dim 6.9W/840 GU10</t>
  </si>
  <si>
    <t>VALUE CLASS Spot PAR16 80 36º non-dim 6.9W/865 GU10</t>
  </si>
  <si>
    <t>VALUE CLASS Spot PAR16 80 60º non-dim 6.9W/830 GU10</t>
  </si>
  <si>
    <t>VALUE CLASS Spot PAR16 80 60º non-dim 6.9W/840 GU10</t>
  </si>
  <si>
    <t>VALUE CLASS Spot PAR16 80 120º non-dim 6.9W/830 GU10</t>
  </si>
  <si>
    <t>VALUE CLASS Spot PAR16 80 120º non-dim 6.9W/840 GU10</t>
  </si>
  <si>
    <t>VALUE CLASS Spot PAR16 80 120º non-dim 6.9W/865 GU10</t>
  </si>
  <si>
    <t>VALUE CLASS Spot PAR16 35 36º non-dim 2,6W/827 GU10</t>
  </si>
  <si>
    <t>PERFORMANCE CLASS Spot MR16  35 36º  DIM 5W/930 GU5.3</t>
  </si>
  <si>
    <t>PERFORMANCE CLASS Spot MR16  35 36º DIM 5W/940 GU5.3</t>
  </si>
  <si>
    <t>PERFORMANCE CLASS Spot MR16 35 36º DIM 5W/927 GU5.3</t>
  </si>
  <si>
    <t>PERFORMANCE CLASS Spot MR16  20 36º non-dim 2.1W/827 GU5.3</t>
  </si>
  <si>
    <t>PERFORMANCE CLASS Spot MR16  20 36º non-dim 2.1W/830 GU5.3</t>
  </si>
  <si>
    <t>PERFORMANCE CLASS Spot MR16  20 36ºnon-dim 2.1W/840 GU5.3</t>
  </si>
  <si>
    <t>PERFORMANCE CLASS Spot MR16  35 36º non-dim 3.8W/827 GU5.3</t>
  </si>
  <si>
    <t>PERFORMANCE CLASS Spot MR16  35 36º non-dim 3.8W/830 GU5.3</t>
  </si>
  <si>
    <t>PERFORMANCE CLASS Spot MR16  35 36º non-dim 3.8W/840 GU5.3</t>
  </si>
  <si>
    <t>PERFORMANCE CLASS Spot MR16  50 36º non-dim 6.5W/827 GU5.3</t>
  </si>
  <si>
    <t>PERFORMANCE CLASS Spot MR16  50 36º non-dim 6.5W/830 GU5.3</t>
  </si>
  <si>
    <t>PERFORMANCE CLASS Spot MR16  50 36º non-dim 6.5W/840 GU5.3</t>
  </si>
  <si>
    <t>PERFORMANCE Spot MR16 20 120º non-dim 2.1W/827 GU5.3</t>
  </si>
  <si>
    <t>PERFORMANCE Spot MR16 35 120º non-dim 4.3W/827 GU5.3</t>
  </si>
  <si>
    <t>PERFORMANCE Spot MR16 50 120º non-dim 6.5W/827 GU5.3</t>
  </si>
  <si>
    <t>PERFORMANCE CLASS Spot MR11  35 DIM 4.5W/927 GU4</t>
  </si>
  <si>
    <t>PERFORMANCE CLASS Spot MR11  20 DIM 2.8W/927 GU4</t>
  </si>
  <si>
    <t>PERFORMANCE CLASS Spot MR11  20 non-dim 1,8W/827 GU4</t>
  </si>
  <si>
    <t>PERFORMANCE CLASS Spot MR11  20 non-dim 1,8W/840 GU4</t>
  </si>
  <si>
    <t>PERFORMANCE CLASS Spot MR11  35 non-dim 4.2W/827 GU4</t>
  </si>
  <si>
    <t>PERFORMANCE CLASS Spot MR11  35 non-dim 4.2W/840 GU4</t>
  </si>
  <si>
    <t>PERFORMANCE CLASS Spot PAR20  50 36º DIM 6.4W/927 E27</t>
  </si>
  <si>
    <t>PERFORMANCE CLASS Spot PAR30  75  36º DIM 10W/927 E27</t>
  </si>
  <si>
    <t>PERFORMANCE CLASS Spot PAR38  120 30º DIM 15.2W/927 E27</t>
  </si>
  <si>
    <t>PERFORMANCE CLASS Spot PAR38  120  15º non-dim 13.5W/827 E27</t>
  </si>
  <si>
    <t>PERFORMANCE CLASS Spot PAR38  120 30º non-dim 13.5W/827 E27</t>
  </si>
  <si>
    <t>SUPERIOR CLASS Spot R63  60 DIM 4.9W/927 E27</t>
  </si>
  <si>
    <t>PERFORMANCE CLASS Spot R50  60 DIM 5.9W/927 E14</t>
  </si>
  <si>
    <t>PERFORMANCE CLASS Spot R63  60 DIM 4.9W/927 E27</t>
  </si>
  <si>
    <t>PERFORMANCE CLASS Spot R80  60 DIM 4.9W/927 E27</t>
  </si>
  <si>
    <t>PERFORMANCE CLASS Spot R80  100 DIM 8.5W/827 E27</t>
  </si>
  <si>
    <t>LED STAR Spot R39  25 non-dim 1.5W/827 E14</t>
  </si>
  <si>
    <t>PERFORMANCE CLASS Spot R50  25 non-dim 1.5W/827 E14</t>
  </si>
  <si>
    <t>PERFORMANCE CLASS Spot R50  40 non-dim 2.6W/827 E14</t>
  </si>
  <si>
    <t>PERFORMANCE CLASS Spot R50  60 non-dim 4.3W/827 E14</t>
  </si>
  <si>
    <t>PERFORMANCE CLASS Spot R63  40 non-dim 2.9W/827 E27</t>
  </si>
  <si>
    <t>PERFORMANCE CLASS Spot R63  60 non-dim 4.8W/827 E27</t>
  </si>
  <si>
    <t>PERFORMANCE CLASS Spot R80  100 non-dim 8.5W/827 E27</t>
  </si>
  <si>
    <t>PERFORMANCE CLASS Spot R80  60 non-dim 4.8W/827 E27</t>
  </si>
  <si>
    <t>SUPERIOR CLASS CLASSIC A 60 FR Motion Sensor S  non-dim 8.8W/827 E27</t>
  </si>
  <si>
    <t>SUPERIOR CLASS CLASSIC A 75 FR Motion Sensor S non-dim 10W/827 E27</t>
  </si>
  <si>
    <t>HIGH BAY SENSOR</t>
  </si>
  <si>
    <t>VISION SENSOR</t>
  </si>
  <si>
    <t>Stock limitado</t>
  </si>
  <si>
    <t>SF CIRCULAR 350 3CCT Cover</t>
  </si>
  <si>
    <t>SF CIRCULAR 500 Cover</t>
  </si>
  <si>
    <t>SF SQUARE 330 Cover</t>
  </si>
  <si>
    <t>Obs.</t>
  </si>
  <si>
    <t>LINEAR INDIVILED LIGHT LINE CONNECTOR (acessório p/linha contínua)</t>
  </si>
  <si>
    <t>LINEAR INDIVILED DALI SUSPENSON KIT DALI (kit suspensão DALI)</t>
  </si>
  <si>
    <t>CLASSIC LED 1906 MAGNETIC</t>
  </si>
  <si>
    <t>CLASSIC LED 1906 MAGNETIC DIM</t>
  </si>
  <si>
    <t>HIGH BAY PERFORMANCE GER 5  (1-10V)</t>
  </si>
  <si>
    <t>TRUSYS FLEX FEED IN CONNECTOR 5P (ligador entrada 5P c/ conetor)</t>
  </si>
  <si>
    <t>TRUSYS FLEX FEED IN CONNECTOR 8P (ligador entrada 8P c/ conetor)</t>
  </si>
  <si>
    <t>VALUE CLASS CLASSIC A 75 FR non-dim 10W/865 E27</t>
  </si>
  <si>
    <t xml:space="preserve">1030   / 1210   / 1110  </t>
  </si>
  <si>
    <t xml:space="preserve">1400  / 1620  / 1470 </t>
  </si>
  <si>
    <t xml:space="preserve">1720   / 1930   / 1810  </t>
  </si>
  <si>
    <t xml:space="preserve">600  / 400 </t>
  </si>
  <si>
    <t xml:space="preserve">2*2700 </t>
  </si>
  <si>
    <t xml:space="preserve">2*30 </t>
  </si>
  <si>
    <t xml:space="preserve">640  / 510  / 320 </t>
  </si>
  <si>
    <t xml:space="preserve">680  / 540  / 340 </t>
  </si>
  <si>
    <t xml:space="preserve">720  / 570  / 360 </t>
  </si>
  <si>
    <t xml:space="preserve">480  / 380 </t>
  </si>
  <si>
    <t xml:space="preserve">510  / 400 </t>
  </si>
  <si>
    <t xml:space="preserve">570  / 450 </t>
  </si>
  <si>
    <t xml:space="preserve">8,30 </t>
  </si>
  <si>
    <t xml:space="preserve">3500  / 2500  / 1500 </t>
  </si>
  <si>
    <t xml:space="preserve">42  / 30  / 19 </t>
  </si>
  <si>
    <t xml:space="preserve">2660  / 1660 </t>
  </si>
  <si>
    <t xml:space="preserve">3780  / 2660 </t>
  </si>
  <si>
    <t xml:space="preserve">27  / 19 </t>
  </si>
  <si>
    <t xml:space="preserve">1220  / 1070  / 860  / 710 </t>
  </si>
  <si>
    <t xml:space="preserve">9,5  / 8  / 6,5  / 5,5 </t>
  </si>
  <si>
    <t xml:space="preserve">2270  / 1990  / 1700  / 1400 </t>
  </si>
  <si>
    <t xml:space="preserve">17   / 15  / 12,5  / 10 </t>
  </si>
  <si>
    <t xml:space="preserve">10  / 8,5  / 7  / 6 </t>
  </si>
  <si>
    <t xml:space="preserve">2280  / 1980  / 1690  / 1390 </t>
  </si>
  <si>
    <t xml:space="preserve">17,5  / 15,5  / 13  / 11 </t>
  </si>
  <si>
    <t xml:space="preserve">840  / 690  / 500 </t>
  </si>
  <si>
    <t xml:space="preserve">4860   / 4130   / 3510  / 2880 </t>
  </si>
  <si>
    <t xml:space="preserve">30  / 25  / 21  / 17  </t>
  </si>
  <si>
    <t xml:space="preserve">4800  / 4050  / 3450  / 2830 </t>
  </si>
  <si>
    <t xml:space="preserve">5040  / 4340  / 3640  / 3080 </t>
  </si>
  <si>
    <t xml:space="preserve">36  / 31  / 26  / 22 </t>
  </si>
  <si>
    <t xml:space="preserve">3640  / 3250  / 2900 </t>
  </si>
  <si>
    <t xml:space="preserve">28  / 25  / 22 </t>
  </si>
  <si>
    <t xml:space="preserve">4320  / 3900  / 3640 </t>
  </si>
  <si>
    <t xml:space="preserve">33  / 30  / 28 </t>
  </si>
  <si>
    <t xml:space="preserve">4200  / 4000  / 3600  / 3400 </t>
  </si>
  <si>
    <t xml:space="preserve">36  / 29,5 </t>
  </si>
  <si>
    <t xml:space="preserve">4320  / 3640  / 3120 </t>
  </si>
  <si>
    <t xml:space="preserve">33  / 28  / 24 </t>
  </si>
  <si>
    <t xml:space="preserve">3300  / 3850 </t>
  </si>
  <si>
    <t xml:space="preserve">35  / 30 </t>
  </si>
  <si>
    <t xml:space="preserve">4660  / 4270  / 3590  / 3060 </t>
  </si>
  <si>
    <t xml:space="preserve">40  / 36  / 30  / 25 </t>
  </si>
  <si>
    <t xml:space="preserve">5050  / 4600  / 3900  / 3250 </t>
  </si>
  <si>
    <t xml:space="preserve">3050  / 3600  / 4250  / 4650 </t>
  </si>
  <si>
    <t xml:space="preserve">3150  / 3800  / 4450  / 4900 </t>
  </si>
  <si>
    <t xml:space="preserve">6050  / 5650  / 5450  / 4850 </t>
  </si>
  <si>
    <t xml:space="preserve">52  / 48  / 46,0  / 40 </t>
  </si>
  <si>
    <t xml:space="preserve">6360  / 5920  / 5900  / 5200 </t>
  </si>
  <si>
    <t xml:space="preserve">4700  / 5300  / 5500  / 5900 </t>
  </si>
  <si>
    <t xml:space="preserve">52  / 48  / 46  / 40 </t>
  </si>
  <si>
    <t xml:space="preserve">5050  / 5700  / 5900  / 6350 </t>
  </si>
  <si>
    <t xml:space="preserve">4800  / 44000  / 3700  / 3150 </t>
  </si>
  <si>
    <t xml:space="preserve">40  / 34  / 30  / 25 </t>
  </si>
  <si>
    <t xml:space="preserve">5050  / 4450  / 3850  / 3250 </t>
  </si>
  <si>
    <t xml:space="preserve">3000  / 3600  / 4150  / 4650 </t>
  </si>
  <si>
    <t xml:space="preserve">3150  / 3750  / 4300  / 4900 </t>
  </si>
  <si>
    <t xml:space="preserve">6100  / 5600  / 5400  / 4850 </t>
  </si>
  <si>
    <t xml:space="preserve">52  / 48  / 44  / 39 </t>
  </si>
  <si>
    <t xml:space="preserve">6400  / 6000  / 5850  / 5250 </t>
  </si>
  <si>
    <t xml:space="preserve">4700  / 5250  / 5450  / 5950 </t>
  </si>
  <si>
    <t xml:space="preserve">5100  / 5700  / 5850  / 6250 </t>
  </si>
  <si>
    <t xml:space="preserve">4800  / 4400  / 3700  / 3150 </t>
  </si>
  <si>
    <t xml:space="preserve">6800  / 6050  / 5350  / 4450 </t>
  </si>
  <si>
    <t xml:space="preserve">55  / 49  / 43  / 35 </t>
  </si>
  <si>
    <t xml:space="preserve">7200  / 6400  / 5700  / 4600 </t>
  </si>
  <si>
    <t xml:space="preserve">4350  / 5250  / 5900  / 6650 </t>
  </si>
  <si>
    <t xml:space="preserve">4500  / 5600  / 6250  / 7050 </t>
  </si>
  <si>
    <t xml:space="preserve">8350  / 7800  / 7600  / 6650 </t>
  </si>
  <si>
    <t xml:space="preserve">69  / 63  / 61  / 53  </t>
  </si>
  <si>
    <t xml:space="preserve">9050  / 8400  / 8200  / 7100 </t>
  </si>
  <si>
    <t xml:space="preserve">6500  / 7450  / 7650  / 8200 </t>
  </si>
  <si>
    <t xml:space="preserve">6950  / 8000  / 8200  / 8850 </t>
  </si>
  <si>
    <t xml:space="preserve">6500  / 5750  / 5200  / 4350 </t>
  </si>
  <si>
    <t xml:space="preserve">54  / 48  / 43  / 34 </t>
  </si>
  <si>
    <t xml:space="preserve">6950  / 6050  / 5600  / 4650 </t>
  </si>
  <si>
    <t xml:space="preserve">8150   / 7650  / 7300  / 6650 </t>
  </si>
  <si>
    <t xml:space="preserve">69  / 63  / 60  / 54 </t>
  </si>
  <si>
    <t xml:space="preserve">8700  / 8150   / 7600  / 7050 </t>
  </si>
  <si>
    <t xml:space="preserve">4250  / 5100  / 5650  / 6400 </t>
  </si>
  <si>
    <t xml:space="preserve">4550  / 5500  / 5950  / 6800 </t>
  </si>
  <si>
    <t xml:space="preserve">6550  / 7150  / 7500  / 8000 </t>
  </si>
  <si>
    <t xml:space="preserve">6950  / 7450  / 8000  / 8550 </t>
  </si>
  <si>
    <t xml:space="preserve">4050  / 3525   / 3000  / 2475  </t>
  </si>
  <si>
    <t xml:space="preserve">27  / 23,5   / 20  / 16,5 </t>
  </si>
  <si>
    <t xml:space="preserve">7200  / 6000  / 4800  / 3600 </t>
  </si>
  <si>
    <t xml:space="preserve">48  / 40  / 32  / 24 </t>
  </si>
  <si>
    <t xml:space="preserve">12400  / 11420  / 10030  / 8720  / 7380 </t>
  </si>
  <si>
    <t xml:space="preserve">73  / 66  / 57  / 49  / 41 </t>
  </si>
  <si>
    <t xml:space="preserve">3960  / 2600 </t>
  </si>
  <si>
    <t xml:space="preserve">33  / 21 </t>
  </si>
  <si>
    <t xml:space="preserve">6100  / 4200 </t>
  </si>
  <si>
    <t xml:space="preserve">50  / 34 </t>
  </si>
  <si>
    <t xml:space="preserve">11000  / 9600  / 8200  / 6600 </t>
  </si>
  <si>
    <t xml:space="preserve">81  / 69  / 57  / 46 </t>
  </si>
  <si>
    <t xml:space="preserve">13200  / 9328  </t>
  </si>
  <si>
    <t xml:space="preserve">75   / 53  </t>
  </si>
  <si>
    <t xml:space="preserve">13500  / 9540  </t>
  </si>
  <si>
    <t xml:space="preserve">13125   / 9275  </t>
  </si>
  <si>
    <t xml:space="preserve">13350   / 9434  </t>
  </si>
  <si>
    <t xml:space="preserve">26250   / 21875  </t>
  </si>
  <si>
    <t xml:space="preserve">150  / 125  </t>
  </si>
  <si>
    <t xml:space="preserve">26700   / 22250  </t>
  </si>
  <si>
    <t xml:space="preserve">35000  / 30275 </t>
  </si>
  <si>
    <t xml:space="preserve">200  / 173  </t>
  </si>
  <si>
    <t xml:space="preserve">36200   / 31313 </t>
  </si>
  <si>
    <t xml:space="preserve">5800  / 4900  / 4100  / 3300 </t>
  </si>
  <si>
    <t xml:space="preserve">40  / 34  / 28  / 22 </t>
  </si>
  <si>
    <t xml:space="preserve">5900  / 5000  / 4200  / 3400 </t>
  </si>
  <si>
    <t xml:space="preserve">6100  / 5200  / 4300  / 3500 </t>
  </si>
  <si>
    <t xml:space="preserve">6200  / 5300  / 4400  / 3500 </t>
  </si>
  <si>
    <t xml:space="preserve">8300  / 7100  / 5900  / 4700 </t>
  </si>
  <si>
    <t xml:space="preserve">80  / 68  / 56  / 44 </t>
  </si>
  <si>
    <t xml:space="preserve">8400  / 7100  / 6000  / 4800 </t>
  </si>
  <si>
    <t xml:space="preserve">11400  / 9700  / 8100  / 6500 </t>
  </si>
  <si>
    <t xml:space="preserve">11500  / 9800  / 8200  / 6600 </t>
  </si>
  <si>
    <t xml:space="preserve">12000  / 10200  / 8500  / 6800 </t>
  </si>
  <si>
    <t xml:space="preserve">12100  / 10300   / 8600  / 6900 </t>
  </si>
  <si>
    <t xml:space="preserve">15000  / 12800  / 10700  / 8600 </t>
  </si>
  <si>
    <t xml:space="preserve">130  / 110,5  / 91,0  / 71,5 </t>
  </si>
  <si>
    <t xml:space="preserve">19000  / 16200  / 13500  / 10800 </t>
  </si>
  <si>
    <t xml:space="preserve">19100   / 16200  / 13600  / 10900 </t>
  </si>
  <si>
    <t xml:space="preserve">19900  / 16900  / 14100  / 11300 </t>
  </si>
  <si>
    <t xml:space="preserve">19800  / 16800  / 14100  / 11300 </t>
  </si>
  <si>
    <t xml:space="preserve">20800  / 17700  / 14800  / 11900 </t>
  </si>
  <si>
    <t xml:space="preserve">25500  / 21700  / 18100  / 14500 </t>
  </si>
  <si>
    <t xml:space="preserve">180  / 153  / 126  / 99 </t>
  </si>
  <si>
    <t xml:space="preserve">25700  / 21800  / 18200  / 14600 </t>
  </si>
  <si>
    <t xml:space="preserve">27000  / 23000  / 19200  / 15400 </t>
  </si>
  <si>
    <t xml:space="preserve">27500  / 23400  / 19500  / 15700  </t>
  </si>
  <si>
    <t xml:space="preserve">27700  / 23500  / 19700  / 15800 </t>
  </si>
  <si>
    <t xml:space="preserve">28000  / 23800  / 19900  / 16000 </t>
  </si>
  <si>
    <t xml:space="preserve">37000  / 31500  / 26300  / 21100 </t>
  </si>
  <si>
    <t xml:space="preserve">250   / 212,5  / 175  / 137,5 </t>
  </si>
  <si>
    <t xml:space="preserve">37500  / 31900  / 26600  / 21400 </t>
  </si>
  <si>
    <t xml:space="preserve">39000  / 33200  / 27700  / 22200 </t>
  </si>
  <si>
    <t xml:space="preserve">39500  / 33600  / 28000  / 22500 </t>
  </si>
  <si>
    <t xml:space="preserve">52000  / 44200  / 36900  / 29600 </t>
  </si>
  <si>
    <t xml:space="preserve">360  / 306  / 252  / 198 </t>
  </si>
  <si>
    <t xml:space="preserve">48000  / 40800  / 34100  / 27400 </t>
  </si>
  <si>
    <t xml:space="preserve">48500  / 41200  / 34400  / 27600 </t>
  </si>
  <si>
    <t xml:space="preserve">56000  / 47600  / 39800  / 31900 </t>
  </si>
  <si>
    <t xml:space="preserve">52500  / 44600  / 37300  / 29900 </t>
  </si>
  <si>
    <t xml:space="preserve">60000   / 55300  / 46200  / 37100 </t>
  </si>
  <si>
    <t xml:space="preserve">450  / 382,5  / 315  / 247,5 </t>
  </si>
  <si>
    <t xml:space="preserve">60000   / 51000  / 42600  / 34200 </t>
  </si>
  <si>
    <t xml:space="preserve">65000  / 55300  / 46200  / 37100 </t>
  </si>
  <si>
    <t xml:space="preserve">61000  / 51900  / 43300  / 34800 </t>
  </si>
  <si>
    <t xml:space="preserve">70000  / 59500  / 49700  / 39900 </t>
  </si>
  <si>
    <t xml:space="preserve">66000  / 56100  / 46900  / 37600 </t>
  </si>
  <si>
    <t xml:space="preserve">1100  / 780 </t>
  </si>
  <si>
    <t xml:space="preserve">1200  / 850 </t>
  </si>
  <si>
    <t xml:space="preserve">2200  / 1465 </t>
  </si>
  <si>
    <t xml:space="preserve">2400  / 1600 </t>
  </si>
  <si>
    <t xml:space="preserve">5500  / 3670 </t>
  </si>
  <si>
    <t xml:space="preserve">41  / 27 </t>
  </si>
  <si>
    <t xml:space="preserve">6000  / 4000 </t>
  </si>
  <si>
    <t xml:space="preserve">9150  / 7320 </t>
  </si>
  <si>
    <t xml:space="preserve">69  / 53  </t>
  </si>
  <si>
    <t xml:space="preserve">10000  / 8000 </t>
  </si>
  <si>
    <t xml:space="preserve">14000  / 11670 </t>
  </si>
  <si>
    <t xml:space="preserve">100  / 83 </t>
  </si>
  <si>
    <t xml:space="preserve">15000  / 12500 </t>
  </si>
  <si>
    <t xml:space="preserve">18600  / 16275 </t>
  </si>
  <si>
    <t xml:space="preserve">133  / 117 </t>
  </si>
  <si>
    <t xml:space="preserve">20000  / 17500 </t>
  </si>
  <si>
    <t xml:space="preserve">23400  / 21060 </t>
  </si>
  <si>
    <t xml:space="preserve">167  / 150 </t>
  </si>
  <si>
    <t xml:space="preserve">25000  / 22500 </t>
  </si>
  <si>
    <t>IP66/IP66</t>
  </si>
  <si>
    <t xml:space="preserve">3538  / 3050  / 2440  / 1830 </t>
  </si>
  <si>
    <t xml:space="preserve">29  / 25  / 20  / 15 </t>
  </si>
  <si>
    <t xml:space="preserve">3945  / 3400  / 2720  / 2040 </t>
  </si>
  <si>
    <t xml:space="preserve">7375   / 6125   / 5250  / 4250 </t>
  </si>
  <si>
    <t xml:space="preserve">59  / 49  / 42  / 34 </t>
  </si>
  <si>
    <t xml:space="preserve">8200  / 6800  / 5840   / 4730 </t>
  </si>
  <si>
    <t xml:space="preserve">2,50 </t>
  </si>
  <si>
    <t xml:space="preserve">1,84 </t>
  </si>
  <si>
    <t xml:space="preserve">0,30 </t>
  </si>
  <si>
    <t xml:space="preserve">27,50 </t>
  </si>
  <si>
    <t xml:space="preserve">0,15 </t>
  </si>
  <si>
    <t xml:space="preserve">26,30 </t>
  </si>
  <si>
    <t xml:space="preserve">44,10 </t>
  </si>
  <si>
    <t xml:space="preserve">60,20 </t>
  </si>
  <si>
    <t xml:space="preserve">7,5 </t>
  </si>
  <si>
    <t xml:space="preserve">22,1 </t>
  </si>
  <si>
    <t xml:space="preserve">17,6 </t>
  </si>
  <si>
    <t xml:space="preserve">22,2 </t>
  </si>
  <si>
    <t xml:space="preserve">5,1 </t>
  </si>
  <si>
    <t xml:space="preserve">6,3 </t>
  </si>
  <si>
    <t xml:space="preserve">9,7 </t>
  </si>
  <si>
    <t xml:space="preserve">11,4 </t>
  </si>
  <si>
    <t xml:space="preserve">17,7 </t>
  </si>
  <si>
    <t xml:space="preserve">15,6 </t>
  </si>
  <si>
    <t xml:space="preserve">23,1 </t>
  </si>
  <si>
    <t xml:space="preserve">13,5 </t>
  </si>
  <si>
    <t xml:space="preserve">5,4 </t>
  </si>
  <si>
    <t xml:space="preserve">6,6 </t>
  </si>
  <si>
    <t xml:space="preserve">11,6 </t>
  </si>
  <si>
    <t xml:space="preserve">18,3 </t>
  </si>
  <si>
    <t xml:space="preserve">6,8 </t>
  </si>
  <si>
    <t xml:space="preserve">13,1 </t>
  </si>
  <si>
    <t xml:space="preserve">19,3 </t>
  </si>
  <si>
    <t xml:space="preserve">5,2 </t>
  </si>
  <si>
    <t xml:space="preserve">7,9 </t>
  </si>
  <si>
    <t xml:space="preserve">17,9 </t>
  </si>
  <si>
    <t xml:space="preserve">7,3 </t>
  </si>
  <si>
    <t xml:space="preserve">10,5 </t>
  </si>
  <si>
    <t xml:space="preserve">21,5 </t>
  </si>
  <si>
    <t xml:space="preserve">5,5 </t>
  </si>
  <si>
    <t xml:space="preserve">9,5 </t>
  </si>
  <si>
    <t xml:space="preserve">3,5 </t>
  </si>
  <si>
    <t xml:space="preserve">14,5 </t>
  </si>
  <si>
    <t xml:space="preserve">7,2 </t>
  </si>
  <si>
    <t xml:space="preserve">13,8 </t>
  </si>
  <si>
    <t xml:space="preserve">4,2 </t>
  </si>
  <si>
    <t xml:space="preserve">2,2 </t>
  </si>
  <si>
    <t xml:space="preserve">3,8 </t>
  </si>
  <si>
    <t xml:space="preserve">1,2 </t>
  </si>
  <si>
    <t xml:space="preserve">5,7 </t>
  </si>
  <si>
    <t xml:space="preserve">8,2 </t>
  </si>
  <si>
    <t xml:space="preserve">2,9 </t>
  </si>
  <si>
    <t xml:space="preserve">4,8 </t>
  </si>
  <si>
    <t xml:space="preserve">6,5 </t>
  </si>
  <si>
    <t xml:space="preserve">5,9 </t>
  </si>
  <si>
    <t xml:space="preserve">2,5 </t>
  </si>
  <si>
    <t xml:space="preserve">2,8 </t>
  </si>
  <si>
    <t xml:space="preserve">1,5 </t>
  </si>
  <si>
    <t xml:space="preserve">1,8 </t>
  </si>
  <si>
    <t xml:space="preserve">7,8 </t>
  </si>
  <si>
    <t xml:space="preserve">3,4 </t>
  </si>
  <si>
    <t xml:space="preserve">5,8 </t>
  </si>
  <si>
    <t xml:space="preserve">8,8 </t>
  </si>
  <si>
    <t xml:space="preserve">4,5 </t>
  </si>
  <si>
    <t xml:space="preserve">4,6 </t>
  </si>
  <si>
    <t xml:space="preserve">4,9 </t>
  </si>
  <si>
    <t xml:space="preserve">3,1 </t>
  </si>
  <si>
    <t xml:space="preserve">8,3 </t>
  </si>
  <si>
    <t xml:space="preserve">3,7 </t>
  </si>
  <si>
    <t xml:space="preserve">4,7 </t>
  </si>
  <si>
    <t xml:space="preserve">2,6 </t>
  </si>
  <si>
    <t xml:space="preserve">4,3 </t>
  </si>
  <si>
    <t xml:space="preserve">6,9 </t>
  </si>
  <si>
    <t xml:space="preserve">3,6 </t>
  </si>
  <si>
    <t xml:space="preserve">5,3 </t>
  </si>
  <si>
    <t xml:space="preserve">2,1 </t>
  </si>
  <si>
    <t xml:space="preserve">7,4 </t>
  </si>
  <si>
    <t xml:space="preserve">11,7 </t>
  </si>
  <si>
    <t xml:space="preserve">6,4 </t>
  </si>
  <si>
    <t xml:space="preserve">15,2 </t>
  </si>
  <si>
    <t xml:space="preserve">8,5 </t>
  </si>
  <si>
    <t xml:space="preserve">9,4 </t>
  </si>
  <si>
    <t xml:space="preserve">1,6 </t>
  </si>
  <si>
    <t xml:space="preserve">1,3 </t>
  </si>
  <si>
    <t xml:space="preserve">2,3 </t>
  </si>
  <si>
    <t xml:space="preserve">0,9 </t>
  </si>
  <si>
    <t xml:space="preserve">3,3 </t>
  </si>
  <si>
    <t xml:space="preserve">4,4 </t>
  </si>
  <si>
    <t xml:space="preserve">1,9 </t>
  </si>
  <si>
    <t xml:space="preserve">18,2 </t>
  </si>
  <si>
    <t xml:space="preserve">11,5 </t>
  </si>
  <si>
    <t xml:space="preserve">9,9 </t>
  </si>
  <si>
    <t xml:space="preserve">2,70 </t>
  </si>
  <si>
    <t xml:space="preserve">0,20 </t>
  </si>
  <si>
    <t xml:space="preserve">0,10 </t>
  </si>
  <si>
    <t xml:space="preserve">0,60 </t>
  </si>
  <si>
    <t xml:space="preserve">0,45 </t>
  </si>
  <si>
    <t xml:space="preserve">0,35 </t>
  </si>
  <si>
    <t>Fluxo Luminoso (lm)</t>
  </si>
  <si>
    <t>Link Ficha Produto</t>
  </si>
  <si>
    <t>PORTEFÓLIO PROFISSIONAL | PREÇOS TABELA E LÍQUIDOS | MARÇO 2025</t>
  </si>
  <si>
    <t>HB DALI 190W/4000K 70DEG IP65 | HB DALI 210W/4000K 70DEG IP65</t>
  </si>
  <si>
    <t>SF BLKH 250 10W/3000K BK IP65 | SF BLKH 250 10W/4000K BK IP65</t>
  </si>
  <si>
    <t>SF BLKH 250 10W/3000K WT IP65 | SF BLKH 250 10W/4000K WT IP65</t>
  </si>
  <si>
    <t>SF BLKH 300 15W/3000K BK IP65 | SF BLKH 300 15W/4000K BK IP65</t>
  </si>
  <si>
    <t>SF BLKH 300 15W/3000K WT IP65 | SF BLKH 300 15W/4000K WT IP65</t>
  </si>
  <si>
    <t xml:space="preserve">SF BLKH 250 S 10W/3000K BK IP65 | SF BLKH 250 10W/4000K S BK IP65 </t>
  </si>
  <si>
    <t xml:space="preserve">SF BLKH 250 S 10W/3000K WT IP65 | SF BLKH 250 10W/4000K S WT IP65 </t>
  </si>
  <si>
    <t>SF BLKH 300 S 15W/3000K BK IP65 | SF BLKH 300 15W/4000K S BK IP65</t>
  </si>
  <si>
    <t>SF BLKH 300 S 15W/3000K WT IP65 | SF BLKH 300 15W/4000K S WT IP65</t>
  </si>
  <si>
    <t>4058075647183 | 4058075647206</t>
  </si>
  <si>
    <t>4058075647145 | 4058075647169</t>
  </si>
  <si>
    <t>4058075647503 | 4058075647527</t>
  </si>
  <si>
    <t>4058075647466 | 4058075647480</t>
  </si>
  <si>
    <t>4058075647268 | 4058075647282</t>
  </si>
  <si>
    <t>4058075647220 | 4058075647244</t>
  </si>
  <si>
    <t>4058075647589 | 4058075647602</t>
  </si>
  <si>
    <t>4058075647541 | 4058075647565</t>
  </si>
  <si>
    <t>4058075647343 | 4058075647367</t>
  </si>
  <si>
    <t>4058075647305 | 4058075647329</t>
  </si>
  <si>
    <t>4058075647664 | 4058075647688</t>
  </si>
  <si>
    <t>4058075647626 | 4058075647640</t>
  </si>
  <si>
    <t>4058075647428 | 4058075647442</t>
  </si>
  <si>
    <t>4058075647381 | 4058075647404</t>
  </si>
  <si>
    <t>4058075647749 | 4058075647763</t>
  </si>
  <si>
    <t>4058075647701 | 4058075647725</t>
  </si>
  <si>
    <t>4058075479951 | 4058075122147 | 4058075122161 | 4058075122147 | 4058075122161</t>
  </si>
  <si>
    <t>4058075122208 | 4058075122222 | 4058075122246 | 4058075122284</t>
  </si>
  <si>
    <t>4058075543959 | 4058075543966</t>
  </si>
  <si>
    <t>4058075421097 | 4058075421226</t>
  </si>
  <si>
    <t>4058075421110 | 4058075421240</t>
  </si>
  <si>
    <t>4058075421134 | 4058075421264</t>
  </si>
  <si>
    <t>4058075421165 | 4058075421288</t>
  </si>
  <si>
    <t>4058075421189 | 4058075421301</t>
  </si>
  <si>
    <t>4058075421202 | 4058075421325</t>
  </si>
  <si>
    <t>4058075422445 | 4058075422506</t>
  </si>
  <si>
    <t>4058075422469 | 4058075422520</t>
  </si>
  <si>
    <t>4058075422483 | 4058075422544</t>
  </si>
  <si>
    <t>LN INV 1200 THR|GHWIRING KIT</t>
  </si>
  <si>
    <t>LINEAR INDIVILED THR|GH-WIRING KIT DALI 1200 (kit cablagem linha contínua DALI)</t>
  </si>
  <si>
    <t>LN INV 1500 THR|GHWIRING KIT</t>
  </si>
  <si>
    <t>LINEAR INDIVILED THR|GH-WIRING KIT DALI 1500 (kit cablagem linha contínua DALI)</t>
  </si>
  <si>
    <t>DAMP PROOF 600 1xLAMP H|SING IP65 - GER 2</t>
  </si>
  <si>
    <t>DAMP PROOF 600 2xLAMP H|SING IP65  - GER 2</t>
  </si>
  <si>
    <t>DAMP PROOF 1200 1xLAMP H|SING IP65  - GER 2</t>
  </si>
  <si>
    <t>DAMP PROOF 1200 2xLAMP H|SING IP65  - GER 2</t>
  </si>
  <si>
    <t>DAMP PROOF 1500 1xLAMP H|SING IP65  - GER 2</t>
  </si>
  <si>
    <t>DAMP PROOF 1500 2xLAMP H|SING IP65  - GER 2</t>
  </si>
  <si>
    <t>Clip de Montagem LED Strip PerformLedvance M|nting Bracket-13/SMB (2 unid.)</t>
  </si>
  <si>
    <t>DALI Push-Button-C|pler</t>
  </si>
  <si>
    <t>4058075461093 | 4058075461130</t>
  </si>
  <si>
    <t>4058075461185 | 4058075461208</t>
  </si>
  <si>
    <t>4058075522435 | 4058075109629</t>
  </si>
  <si>
    <t>LINEAR INDIVILED D 1200 34W/940 | LN INDV D 1200 34W/4000K</t>
  </si>
  <si>
    <t>4058075522473 | 4058075109704</t>
  </si>
  <si>
    <t>LN INDV D 1500 48W/940 | LN INDV D 1500 48W/4000K</t>
  </si>
  <si>
    <t>Ficha de alimentação direta à rede LS AY AC/PLUG/EU</t>
  </si>
  <si>
    <r>
      <t xml:space="preserve">PANEL FLEX </t>
    </r>
    <r>
      <rPr>
        <b/>
        <sz val="12"/>
        <color theme="9" tint="0.59999389629810485"/>
        <rFont val="Calibri"/>
        <family val="2"/>
      </rPr>
      <t>EVERLOOP</t>
    </r>
  </si>
  <si>
    <r>
      <t xml:space="preserve">PANEL FLEX SPARE PARTS </t>
    </r>
    <r>
      <rPr>
        <b/>
        <sz val="12"/>
        <color theme="9" tint="0.59999389629810485"/>
        <rFont val="Calibri"/>
        <family val="2"/>
      </rPr>
      <t>EVERLOOP</t>
    </r>
  </si>
  <si>
    <r>
      <t xml:space="preserve">LINEAR INDIVILED® Direct GER 2 Sensor DALI </t>
    </r>
    <r>
      <rPr>
        <b/>
        <sz val="12"/>
        <color theme="9" tint="0.59999389629810485"/>
        <rFont val="Calibri"/>
        <family val="2"/>
      </rPr>
      <t>EVERLOOP</t>
    </r>
  </si>
  <si>
    <r>
      <t xml:space="preserve">LINEAR INDIVILED® Direct/Indirect ON-OFF GER 2 </t>
    </r>
    <r>
      <rPr>
        <b/>
        <sz val="12"/>
        <color theme="9" tint="0.59999389629810485"/>
        <rFont val="Calibri"/>
        <family val="2"/>
      </rPr>
      <t>EVERLOOP</t>
    </r>
  </si>
  <si>
    <r>
      <t>LINEAR INDIVILED® GER 2  SPARE PARTS</t>
    </r>
    <r>
      <rPr>
        <b/>
        <sz val="12"/>
        <color theme="9" tint="0.59999389629810485"/>
        <rFont val="Calibri"/>
        <family val="2"/>
      </rPr>
      <t xml:space="preserve"> EVERLOOP</t>
    </r>
  </si>
  <si>
    <t xml:space="preserve">OTI DALI 35/220-240/1A0 NFC </t>
  </si>
  <si>
    <t>OTI DALI 50/220-240/1A4 NFC</t>
  </si>
  <si>
    <t>Ficha Técnica</t>
  </si>
  <si>
    <t>OT 40/170-240/1A0 4DIM NFC G3 CE</t>
  </si>
  <si>
    <t>OT 75/170-240/1A0 4DIM NFC G3 CE</t>
  </si>
  <si>
    <t>OT 110/170-240/1A0 4DIM NFC G3 CE</t>
  </si>
  <si>
    <t>OT 165/170-240/1A0 4DIM NFC G3 CE</t>
  </si>
  <si>
    <t xml:space="preserve">DAMP PROOF FLEX </t>
  </si>
  <si>
    <t>DP HOUSING 600 P 1XLAMP MT IP65   (c/ platine)</t>
  </si>
  <si>
    <t>DP HOUSING 600 P 2XLAMP MT IP65  (c/ platine)</t>
  </si>
  <si>
    <t>DP HOUSING 1200 P 1XLAMP MT IP65 (c/ platine)</t>
  </si>
  <si>
    <t>DP HOUSING 1200 P 2XLAMP MT IP65   (c/ platine)</t>
  </si>
  <si>
    <t>DP HOUSING 1500 P 1XLAMP MT IP65  (c/ platine)</t>
  </si>
  <si>
    <t>DP HOUSING 1500 P 2XLAMP MT IP65  (c/ platine)</t>
  </si>
  <si>
    <t>SUPERIOR CLASS CLASSIC  A FR 60  non-dim 8.8W/827 E27 DaylightSensor</t>
  </si>
  <si>
    <t xml:space="preserve">LISOSV 600SQ 4860 840 PL FLEX </t>
  </si>
  <si>
    <t xml:space="preserve">LISOSV 600SQ 4800 830 PL FLEX </t>
  </si>
  <si>
    <t>BULKHEAD COMBO</t>
  </si>
  <si>
    <t>BLKH CBO RD EYELID 325 WT</t>
  </si>
  <si>
    <t xml:space="preserve">BLKH CBO RD SENSOR </t>
  </si>
  <si>
    <t xml:space="preserve">DL CMFT EXCH RING D100 BK          </t>
  </si>
  <si>
    <t xml:space="preserve">DL CMFT EXCH RING D100 GY          </t>
  </si>
  <si>
    <t xml:space="preserve">DL CMFT EXCH RING D150 BK          </t>
  </si>
  <si>
    <t xml:space="preserve">DL CMFT EXCH RING D150 GY          </t>
  </si>
  <si>
    <t xml:space="preserve">DL CMFT EXCH RING D200 BK          </t>
  </si>
  <si>
    <t xml:space="preserve">DL CMFT EXCH RING D200 GY          </t>
  </si>
  <si>
    <t xml:space="preserve">DL CMFT EXCH RING D250 BK          </t>
  </si>
  <si>
    <t xml:space="preserve">DL CMFT EXCH RING D250 GY          </t>
  </si>
  <si>
    <t xml:space="preserve">DL CMFT FRAME D100 BK              </t>
  </si>
  <si>
    <t xml:space="preserve">DL CMFT FRAME D100 GY              </t>
  </si>
  <si>
    <t xml:space="preserve">DL CMFT FRAME D100 WT              </t>
  </si>
  <si>
    <t xml:space="preserve">DL CMFT FRAME D150 BK              </t>
  </si>
  <si>
    <t xml:space="preserve">DL CMFT FRAME D150 GY              </t>
  </si>
  <si>
    <t xml:space="preserve">DL CMFT FRAME D150 WT              </t>
  </si>
  <si>
    <t xml:space="preserve">DL CMFT FRAME D200 BK              </t>
  </si>
  <si>
    <t xml:space="preserve">DL CMFT FRAME D200 GY              </t>
  </si>
  <si>
    <t xml:space="preserve">DL CMFT FRAME D200 WT              </t>
  </si>
  <si>
    <t xml:space="preserve">DL CMFT FRAME D250 BK              </t>
  </si>
  <si>
    <t xml:space="preserve">DL CMFT FRAME D250 GY              </t>
  </si>
  <si>
    <t xml:space="preserve">DL CMFT FRAME D250 WT              </t>
  </si>
  <si>
    <t xml:space="preserve">Sob Consulta </t>
  </si>
  <si>
    <t>INDIVILED Direct ASSIMÉTRICO ON-OFF</t>
  </si>
  <si>
    <t>INDIVILED Direct ASSIMÉTRICO DALI</t>
  </si>
  <si>
    <t>4058075515352 | 4058075515307 | 4058075515284 | 4058075515390</t>
  </si>
  <si>
    <t xml:space="preserve">SPOT FRAME 100X100 1X D68 BK       </t>
  </si>
  <si>
    <t xml:space="preserve">SPOT FRAME 100X100 1X D68 SI       </t>
  </si>
  <si>
    <t xml:space="preserve">SPOT FRAME 100X100 1X D68 WT       </t>
  </si>
  <si>
    <t xml:space="preserve">SPOT FRAME 100X200 2X D68 BK       </t>
  </si>
  <si>
    <t xml:space="preserve">SPOT FRAME 100X200 2X D68 SI       </t>
  </si>
  <si>
    <t xml:space="preserve">SPOT FRAME 100X200 2X D68 WT       </t>
  </si>
  <si>
    <t xml:space="preserve">SPOT FRAME 100X300 3X D68 BK       </t>
  </si>
  <si>
    <t xml:space="preserve">SPOT FRAME 100X300 3X D68 SI       </t>
  </si>
  <si>
    <t xml:space="preserve">SPOT FRAME 100X300 3X D68 WT       </t>
  </si>
  <si>
    <t>SPOT SQUARE</t>
  </si>
  <si>
    <t>2</t>
  </si>
  <si>
    <t xml:space="preserve">DL SLIM ALU FRAME D150 WT          </t>
  </si>
  <si>
    <t xml:space="preserve">DL SLIM ALU FRAME D175 WT          </t>
  </si>
  <si>
    <t xml:space="preserve">DL SLIM ALU FRAME D205 WT          </t>
  </si>
  <si>
    <t xml:space="preserve">DL SLIM ALU FRAME D280 WT          </t>
  </si>
  <si>
    <t xml:space="preserve">SP SQUARE DK ADJ 8W/3000K FL BK    </t>
  </si>
  <si>
    <t xml:space="preserve">SP SQUARE DK ADJ 8W/3000K FL WT    </t>
  </si>
  <si>
    <t xml:space="preserve">TRUSYS FLEX L01-NODE 5P WT         </t>
  </si>
  <si>
    <t xml:space="preserve">TRUSYS FLEX L01-NODE 8P WT         </t>
  </si>
  <si>
    <t xml:space="preserve">TRUSYS FLEX L02-NODE 5P WT         </t>
  </si>
  <si>
    <t xml:space="preserve">TRUSYS FLEX L02-NODE 8P WT         </t>
  </si>
  <si>
    <t xml:space="preserve">TRUSYS FLEX T01-NODE 5P WT         </t>
  </si>
  <si>
    <t xml:space="preserve">TRUSYS FLEX T01-NODE 8P WT         </t>
  </si>
  <si>
    <t xml:space="preserve">TRUSYS FLEX T02-NODE 5P WT         </t>
  </si>
  <si>
    <t xml:space="preserve">TRUSYS FLEX T02-NODE 8P WT         </t>
  </si>
  <si>
    <t xml:space="preserve">TRUSYS FLEX T03-NODE 5P WT         </t>
  </si>
  <si>
    <t xml:space="preserve">TRUSYS FLEX T03-NODE 8P WT         </t>
  </si>
  <si>
    <t xml:space="preserve">TRUSYS FLEX X01-NODE 5P WT         </t>
  </si>
  <si>
    <t xml:space="preserve">TRUSYS FLEX X01-NODE 8P WT         </t>
  </si>
  <si>
    <t>DP 1200 1XLAMP HOUSING TH-KIT 5X2.5</t>
  </si>
  <si>
    <t>DP 1200 2XLAMP HOUSING TH-KIT 5X2.5</t>
  </si>
  <si>
    <t>DP 1500 1XLAMP HOUSING TH-KIT 5X2.5</t>
  </si>
  <si>
    <t>DP 1500 2XLAMP HOUSING TH-KIT 5X2.5</t>
  </si>
  <si>
    <t xml:space="preserve">DP 1200 TH-KIT 5X2.5               </t>
  </si>
  <si>
    <t xml:space="preserve">DP 1500 TH-KIT 5X2.5               </t>
  </si>
  <si>
    <t>DOWNLIGHT COMFORT GER 1</t>
  </si>
  <si>
    <t>DOWNLIGHT COMFORT GER 2</t>
  </si>
  <si>
    <t>DOWNLIGHT COMFORT DALI GER 2</t>
  </si>
  <si>
    <t>DOWNLIGHT SLIM ALU GER 2</t>
  </si>
  <si>
    <t>DOWNLIGHT SLIM ALU GER 1</t>
  </si>
  <si>
    <t>DOWNLIGHT SLIM ALU DALI GER 2</t>
  </si>
  <si>
    <t>SPOT ADJUST GER 2</t>
  </si>
  <si>
    <t>SPOT ADJUST GER 3</t>
  </si>
  <si>
    <t>SPOT - FIREPROOF GER 2</t>
  </si>
  <si>
    <t>SPOT FIX GER 2</t>
  </si>
  <si>
    <t>SPOT - DARKLIGHT GER 2</t>
  </si>
  <si>
    <t>SPOT GER 2 - ACESSÓRIOS</t>
  </si>
  <si>
    <r>
      <t>BULKHEAD EMERGENCY SENSOR GER 2</t>
    </r>
    <r>
      <rPr>
        <b/>
        <sz val="10"/>
        <color theme="6" tint="0.39997558519241921"/>
        <rFont val="Calibri"/>
        <family val="2"/>
      </rPr>
      <t xml:space="preserve"> </t>
    </r>
    <r>
      <rPr>
        <b/>
        <sz val="12"/>
        <color theme="9" tint="0.59999389629810485"/>
        <rFont val="Calibri"/>
        <family val="2"/>
      </rPr>
      <t>EVERLOOP</t>
    </r>
  </si>
  <si>
    <t>LINEAR SURFACE IP44 GER 2</t>
  </si>
  <si>
    <t>LINEAR SURFACE IP44 DALI GER 2</t>
  </si>
  <si>
    <t>LINEAR SURFACE IP44 EM GER 2</t>
  </si>
  <si>
    <t>DAMP PROOF HOUSING TH GER 3</t>
  </si>
  <si>
    <t>12</t>
  </si>
  <si>
    <t>10</t>
  </si>
  <si>
    <t>6</t>
  </si>
  <si>
    <t>50</t>
  </si>
  <si>
    <t>100</t>
  </si>
  <si>
    <t>30</t>
  </si>
  <si>
    <t>20</t>
  </si>
  <si>
    <t>25</t>
  </si>
  <si>
    <t>CANOPY</t>
  </si>
  <si>
    <t>LINEAR COMBO</t>
  </si>
  <si>
    <t xml:space="preserve">BULKHEAD COMBO - ACESSÓRIOS </t>
  </si>
  <si>
    <t xml:space="preserve">PANEL - ACESSÓRIOS </t>
  </si>
  <si>
    <t>TRUSYS UNIVERSAL - ACESSÓRIOS</t>
  </si>
  <si>
    <t>DAMP PROOF HOUSING TH GER 3 - ACESSÓRIOS</t>
  </si>
  <si>
    <t>HIGH BAY GER 4 - ACESSÓRIOS</t>
  </si>
  <si>
    <t>HIGH BAY GER 5 - ACESSÓRIOS</t>
  </si>
  <si>
    <t xml:space="preserve">CANOPY - ACESSÓRIOS </t>
  </si>
  <si>
    <t>FLOODLIGHT HIGH MAST - ACESSÓRIOS</t>
  </si>
  <si>
    <t>FITA LED 230V AC  ACESSÓRIOS</t>
  </si>
  <si>
    <t xml:space="preserve">FITAS LED - ACESSÓRIOS </t>
  </si>
  <si>
    <t xml:space="preserve">OPTOTRONIC® - OT Serra cabos - ACESSÓRIOS </t>
  </si>
  <si>
    <t>DOWNLIGHT COMFORT GER 2 - ACESSÓRIOS</t>
  </si>
  <si>
    <t xml:space="preserve">DOWNLIGHT SLIM ALU GER 2 ACESSÓRIOS </t>
  </si>
  <si>
    <t>DOWNLIGHT IP44 &amp; ACESSÓRIOS</t>
  </si>
  <si>
    <t>DOWNLIGHT SLIM QUADRADO &amp; ACESSÓRIOS</t>
  </si>
  <si>
    <t>DOWNLIGHT SLIM REDONDO &amp; ACESSÓRIOS</t>
  </si>
  <si>
    <t>SPOT COMBO &amp; ACESSÓRIOS</t>
  </si>
  <si>
    <t>3</t>
  </si>
  <si>
    <t>LEDVANCE DRIVER PERFORMANCE DE CORRENTE CONSTANTE (CC)</t>
  </si>
  <si>
    <t>LEDVANCE CONTROLADOR, CONTROLO REMOTO E TOUCH PANEL TW/RGBW/RGB</t>
  </si>
  <si>
    <t>LEDVANCE FLOODLIGHT ECO HP (HIGH POWER)</t>
  </si>
  <si>
    <t>LEDVANCE DULUX LED S - CCG &amp; AC mains</t>
  </si>
  <si>
    <t>LEDVANCE DULUX LED L  - ECG &amp; AC mains</t>
  </si>
  <si>
    <t>LEDVANCE DULUX LED F - CCG &amp; AC mains</t>
  </si>
  <si>
    <t>LEDVANCE DULUX LED T/E ECG &amp; AC mains</t>
  </si>
  <si>
    <t>LEDVANCE DULUX LED SQUARE CCG &amp; AC Mains</t>
  </si>
  <si>
    <t>LEDVANCE DULUX LED T CCG &amp; AC Mains</t>
  </si>
  <si>
    <t>LEDVANCE DULUX LED D VERTICAL - CCG &amp; AC mains</t>
  </si>
  <si>
    <t>LEDVANCE DULUX LED D/E - ECG &amp; AC mains</t>
  </si>
  <si>
    <t>LEDVANCE LEDTUBE T8 HF VALUE GER 11 (ECG)</t>
  </si>
  <si>
    <t>FLOODLIGHT MAX</t>
  </si>
  <si>
    <t>STREETLIGHT SL FLEX</t>
  </si>
  <si>
    <r>
      <t xml:space="preserve">LINEAR INDIVILED® Direct/Indirect DALI SENSOR </t>
    </r>
    <r>
      <rPr>
        <b/>
        <sz val="12"/>
        <color theme="9" tint="0.59999389629810485"/>
        <rFont val="Calibri"/>
        <family val="2"/>
      </rPr>
      <t xml:space="preserve"> EVERLOOP</t>
    </r>
  </si>
  <si>
    <r>
      <t>LINEAR INDIVILED®  Direct GER 2 ON-Off</t>
    </r>
    <r>
      <rPr>
        <b/>
        <sz val="12"/>
        <color theme="9" tint="0.59999389629810485"/>
        <rFont val="Calibri"/>
        <family val="2"/>
      </rPr>
      <t xml:space="preserve"> EVERLOOP</t>
    </r>
  </si>
  <si>
    <r>
      <t xml:space="preserve">LINEAR INDIVILED® Direct GER 2 DALI </t>
    </r>
    <r>
      <rPr>
        <b/>
        <sz val="12"/>
        <color theme="9" tint="0.59999389629810485"/>
        <rFont val="Calibri"/>
        <family val="2"/>
      </rPr>
      <t>EVERLOOP</t>
    </r>
  </si>
  <si>
    <t>LINEAR INDIVILED®</t>
  </si>
  <si>
    <t xml:space="preserve">CANOPY COMPACT SURFACE FRAME    </t>
  </si>
  <si>
    <t xml:space="preserve">VIVARES ZB SENS ADAPTER </t>
  </si>
  <si>
    <t xml:space="preserve">CANOPY COMPACT U BRACKET    </t>
  </si>
  <si>
    <t>CANOPY COMPACT COVER PLATEKIT</t>
  </si>
  <si>
    <t>DALI PRO 2 IoT CONTROLLER (OSRAM/LEDVANCE)</t>
  </si>
  <si>
    <t>LEDVANCE HQL LED Performance Class - CCG &amp; AC mains - STREETLIGHTING</t>
  </si>
  <si>
    <t>LEDVANCE HQL LED Filament Value Class - CCG &amp; AC mains - STREETLIGHTING</t>
  </si>
  <si>
    <t>LEDVANCE NAV LED Filament Value Class - CCG &amp; AC mains - STREETLIGHTING</t>
  </si>
  <si>
    <t>LEDVANCE NAV LED Filament Amber Value Class - CCG &amp; AC mains - STREETLIGHTING</t>
  </si>
  <si>
    <r>
      <rPr>
        <b/>
        <sz val="10"/>
        <color theme="0"/>
        <rFont val="Calibri"/>
        <family val="2"/>
      </rPr>
      <t>LINEAR INDIVILED® Direct/Indirect DALI</t>
    </r>
    <r>
      <rPr>
        <b/>
        <sz val="12"/>
        <color theme="0"/>
        <rFont val="Calibri"/>
        <family val="2"/>
      </rPr>
      <t xml:space="preserve"> </t>
    </r>
    <r>
      <rPr>
        <b/>
        <sz val="12"/>
        <color theme="9" tint="0.59999389629810485"/>
        <rFont val="Calibri"/>
        <family val="2"/>
      </rPr>
      <t>EVERLOOP</t>
    </r>
  </si>
  <si>
    <t xml:space="preserve">FLOODLIGHT   PHOTOCELL  GER 4 </t>
  </si>
  <si>
    <t>FLOODLIGHT COMPACT VALUE GER 2</t>
  </si>
  <si>
    <t>FLOODLIGHT  AREA ASYM 48x92</t>
  </si>
  <si>
    <t>FLOODLIGHT  AREA ASYM 48x85</t>
  </si>
  <si>
    <r>
      <t xml:space="preserve">BULKHEADGER 2 - ACESSÓRIOS </t>
    </r>
    <r>
      <rPr>
        <b/>
        <sz val="12"/>
        <color theme="9" tint="0.59999389629810485"/>
        <rFont val="Calibri"/>
        <family val="2"/>
      </rPr>
      <t>EVERLOOP</t>
    </r>
  </si>
  <si>
    <t>PANEL DIRECT/INDIRECT - PARA SUSPENÇÃO</t>
  </si>
  <si>
    <t>DAMP PROOF COMPACT GER 1</t>
  </si>
  <si>
    <t>DAMP PROOF COMPACT GER 2</t>
  </si>
  <si>
    <t>DAMP PROOF HE GER 1</t>
  </si>
  <si>
    <t>DAMP PROOF HE DA  GER 1</t>
  </si>
  <si>
    <t>DAMP PROOF HE TH GER 1</t>
  </si>
  <si>
    <t>DAMP PROOF MAX GER 1</t>
  </si>
  <si>
    <t>DAMP PROOF SPECIAL GER 2</t>
  </si>
  <si>
    <t>DAMP PROOF GER 2</t>
  </si>
  <si>
    <t>DAMP PROOF DALI GER 2</t>
  </si>
  <si>
    <t>DAMP PROOF EMERGÊNCIA GER 2</t>
  </si>
  <si>
    <t>DAMP PROOF SENSOR GER 2</t>
  </si>
  <si>
    <t>DAMP PROOF HOUSING GER 3 (CARCAÇA C/ PLATINE)</t>
  </si>
  <si>
    <t>DAMP PROOF HOUSING DALI GER 3</t>
  </si>
  <si>
    <t>DAMP PROOF HOUSING EM GER 3</t>
  </si>
  <si>
    <t>FLOODLIGHT MAX DRIVER</t>
  </si>
  <si>
    <t>STREETLIGHT AREA GER 2</t>
  </si>
  <si>
    <t>FITA LED SUPERIOR CLASS - TUNABLE WHITE</t>
  </si>
  <si>
    <t>FITA LED PERFORMANCE CLASS IP67 GER 2</t>
  </si>
  <si>
    <t>FITA LED PERFORMANCE CLASS - RGBW</t>
  </si>
  <si>
    <t>FITA LED PERFORMANCE CLASS GER 2</t>
  </si>
  <si>
    <t>FITA LED PERFORMANCE COB</t>
  </si>
  <si>
    <t>FITA LED VALUE CLASS - RGB</t>
  </si>
  <si>
    <t>LEDVANCE Fita LED VALUE CLASS GER 2</t>
  </si>
  <si>
    <t>LEDVANCE Fita LED VALUE CLASS IP65 GER 2</t>
  </si>
  <si>
    <t>PERFIS PARA FITAS - Perfis Largos</t>
  </si>
  <si>
    <t>PERFIS PARA FITAS - Perfis Plano em U</t>
  </si>
  <si>
    <t>PERFIS PARA FITAS - Perfis Médio em U</t>
  </si>
  <si>
    <t>DRIVER LED Tensão Constante Superior Class –- não protegidos DALI</t>
  </si>
  <si>
    <t>DRIVER LED Tensão Constante Superior Class - não protegidos ON/OFF</t>
  </si>
  <si>
    <t xml:space="preserve">DRIVER LED Tensão Constante PERFORMANCE Class –  protegidos 1-10V DIM </t>
  </si>
  <si>
    <t>DRIVER LED Tensão Constante PERFORMANCE Class –  protegidos ON/OFF</t>
  </si>
  <si>
    <t>DRIVER LED Tensão Constante Value Class –  não protegidos ON/OFF</t>
  </si>
  <si>
    <t>DRIVER LED Corrente Constante PERFORMANCE Class –  não protegidos Phase-Cut</t>
  </si>
  <si>
    <t>DRIVER LED Corrente Constante PERFORMANCE Class –  não protegidos Dip-Switch</t>
  </si>
  <si>
    <t>DRIVER  LED Corrente Constante PERFORMANCE Linear N-SELV Indoor -  Dip-Switch</t>
  </si>
  <si>
    <t>LEDVANCE HID LED High bay Universal - CCG &amp; ignitor &amp; AC mains - Indoor High Bay Application</t>
  </si>
  <si>
    <t>ACTIVE &amp; RELAX</t>
  </si>
  <si>
    <t>ACTIVE, RELAX &amp; SLEEP</t>
  </si>
  <si>
    <t>4058075692800 | 4058075692824</t>
  </si>
  <si>
    <t>4058075692794 | 4058075692817</t>
  </si>
  <si>
    <t>4058075692862 | 4058075764255</t>
  </si>
  <si>
    <t>4058075764248 | 4058075692879</t>
  </si>
  <si>
    <t>PUSHBUTTON COUPLER DALI-2 LEDVANCE</t>
  </si>
  <si>
    <r>
      <t>BULKHEAD EMERGENCY  GER 2</t>
    </r>
    <r>
      <rPr>
        <b/>
        <sz val="10"/>
        <color theme="6" tint="0.39997558519241921"/>
        <rFont val="Calibri"/>
        <family val="2"/>
      </rPr>
      <t xml:space="preserve"> </t>
    </r>
    <r>
      <rPr>
        <b/>
        <sz val="12"/>
        <color theme="9" tint="0.59999389629810485"/>
        <rFont val="Calibri"/>
        <family val="2"/>
      </rPr>
      <t>EVERLOOP</t>
    </r>
  </si>
  <si>
    <r>
      <t xml:space="preserve">BULKHEAD  SENSOR  GER 2 </t>
    </r>
    <r>
      <rPr>
        <b/>
        <sz val="12"/>
        <color theme="9" tint="0.59999389629810485"/>
        <rFont val="Calibri"/>
        <family val="2"/>
      </rPr>
      <t>EVERLOOP</t>
    </r>
  </si>
  <si>
    <r>
      <t xml:space="preserve">BULKHEAD GER 2 </t>
    </r>
    <r>
      <rPr>
        <b/>
        <sz val="12"/>
        <color theme="9" tint="0.59999389629810485"/>
        <rFont val="Calibri"/>
        <family val="2"/>
      </rPr>
      <t>EVERLOOP</t>
    </r>
  </si>
  <si>
    <r>
      <t xml:space="preserve">BULKHEAD GER 2 SPARE PARTS </t>
    </r>
    <r>
      <rPr>
        <b/>
        <sz val="12"/>
        <color theme="9" tint="0.59999389629810485"/>
        <rFont val="Calibri"/>
        <family val="2"/>
      </rPr>
      <t>EVERLOOP</t>
    </r>
  </si>
  <si>
    <t>Descontinuado / A descontinuar
Descrição</t>
  </si>
  <si>
    <t xml:space="preserve">DR DALI-P-30/220-240/700 </t>
  </si>
  <si>
    <t xml:space="preserve">DR DALI-P-42/220-240/1A0 </t>
  </si>
  <si>
    <t>4058075515260 | 4058075515222 | 4058075515246 | 4058075515208</t>
  </si>
  <si>
    <t xml:space="preserve">EMERGENCY CONVERSION BOX </t>
  </si>
  <si>
    <r>
      <t xml:space="preserve">SURFACE FLAT  SPARE PARTS  </t>
    </r>
    <r>
      <rPr>
        <b/>
        <sz val="12"/>
        <color theme="9" tint="0.59999389629810485"/>
        <rFont val="Calibri"/>
        <family val="2"/>
      </rPr>
      <t>EVERLOOP</t>
    </r>
  </si>
  <si>
    <r>
      <t xml:space="preserve">SURFACE FLAT  </t>
    </r>
    <r>
      <rPr>
        <b/>
        <sz val="12"/>
        <color theme="9" tint="0.59999389629810485"/>
        <rFont val="Calibri"/>
        <family val="2"/>
      </rPr>
      <t>EVERLOOP</t>
    </r>
  </si>
  <si>
    <r>
      <t>SURFACE FLAT - ACESSÓRIOS</t>
    </r>
    <r>
      <rPr>
        <b/>
        <sz val="12"/>
        <color theme="9" tint="0.59999389629810485"/>
        <rFont val="Calibri"/>
        <family val="2"/>
      </rPr>
      <t xml:space="preserve"> EVERLOOP</t>
    </r>
  </si>
  <si>
    <t xml:space="preserve">PANEL LOUVER </t>
  </si>
  <si>
    <t>PL LOUVER 1200V27.5W840U16BKDALI</t>
  </si>
  <si>
    <t>PANEL LOUVER 600 Suspension Kit WT</t>
  </si>
  <si>
    <t>PANEL LOUVER 600 Suspension Kit BK</t>
  </si>
  <si>
    <t>PANEL LOUVER Surface Kit 600 WT</t>
  </si>
  <si>
    <t>PANEL LOUVER Surface Kit 600 BK</t>
  </si>
  <si>
    <t>PANEL LOUVER Surface Kit 1200 WT</t>
  </si>
  <si>
    <t xml:space="preserve">PANEL LOUVER Surface Kit 1200 BK </t>
  </si>
  <si>
    <r>
      <t>LINEAR INDIVILED® GER 2  - ACESSÓRIOS</t>
    </r>
    <r>
      <rPr>
        <b/>
        <sz val="12"/>
        <color theme="9" tint="0.59999389629810485"/>
        <rFont val="Calibri"/>
        <family val="2"/>
      </rPr>
      <t xml:space="preserve"> EVERLOOP</t>
    </r>
  </si>
  <si>
    <t>8</t>
  </si>
  <si>
    <t>4</t>
  </si>
  <si>
    <t>LUMINÁRIAS</t>
  </si>
  <si>
    <t xml:space="preserve">LÂMPADAS TRADICIONAIS </t>
  </si>
  <si>
    <t>LMS -  SISTEMAS DE GESTÃO DA ILUMINAÇÃO</t>
  </si>
  <si>
    <t>LMS -  LEDVANCE</t>
  </si>
  <si>
    <t>LMS -  OSRAM</t>
  </si>
  <si>
    <t xml:space="preserve">DRIVERS </t>
  </si>
  <si>
    <t>5</t>
  </si>
  <si>
    <t>DL UGR19 PFM DN155 14830 IP54</t>
  </si>
  <si>
    <t>DL UGR19 PFM DN155 14840 IP54</t>
  </si>
  <si>
    <t>DL UGR19 PFM DN195 21 830 IP54</t>
  </si>
  <si>
    <t>DL UGR19 PFM DN195 21 840 IP54</t>
  </si>
  <si>
    <t>DL UGR19 PFM DN155 14 830 IP54 DALI</t>
  </si>
  <si>
    <t>DL UGR19 PFM DN155 14 840 IP54 DALI</t>
  </si>
  <si>
    <t>DL UGR19 PFM DN195 21 830 IP54 DALI</t>
  </si>
  <si>
    <t>DL UGR19 PFM DN195 21 840 IP54 DALI</t>
  </si>
  <si>
    <t>DL UGR19 PFM DN155 14 840 IP54 ZBVR</t>
  </si>
  <si>
    <t xml:space="preserve">DL CMFT D100 P 13MS 940 OP WT    </t>
  </si>
  <si>
    <t xml:space="preserve">DL CMFT D150 P 18MS 940 OP WT    </t>
  </si>
  <si>
    <t xml:space="preserve">DL CMFT D200 P 30MS 940 OP WT    </t>
  </si>
  <si>
    <t xml:space="preserve">DL CMFT D250 P 42MS 940 OP WT    </t>
  </si>
  <si>
    <t xml:space="preserve">DL CMFT D100 P 13MS 940 U19 WT   </t>
  </si>
  <si>
    <t xml:space="preserve">DL CMFT D150 P 18MS 940 U19 WT   </t>
  </si>
  <si>
    <t xml:space="preserve">DL CMFT D200 P 30MS 940 U19 WT   </t>
  </si>
  <si>
    <t xml:space="preserve">DL CMFT D250 P 42MS 940 U19 WT   </t>
  </si>
  <si>
    <t xml:space="preserve">DL CMFT DA D100 P 13MS 940 OP WT </t>
  </si>
  <si>
    <t xml:space="preserve">DL CMFT DA D150 P 18MS 940 OP WT </t>
  </si>
  <si>
    <t xml:space="preserve">DL CMFT DA D200 P 30MS 940 OP WT </t>
  </si>
  <si>
    <t xml:space="preserve">DL CMFT DA D250 P 42MS 940 OP WT </t>
  </si>
  <si>
    <t>DL CMFT DA D100 P 13MS 940 U19 WT</t>
  </si>
  <si>
    <t>DL CMFT DA D150 P 18MS 940 U19 WT</t>
  </si>
  <si>
    <t>DL CMFT DA D200 P 30MS 940 U19 WT</t>
  </si>
  <si>
    <t>DL CMFT DA D250 P 42MS 940 U19 WT</t>
  </si>
  <si>
    <t>DL SURFACE DN 90 P 15830 36D IP65 WT</t>
  </si>
  <si>
    <t>DL SURFACE DN 90 P 15840 36D IP65 WT</t>
  </si>
  <si>
    <t>DL SURFACE DN 90 P 15830 36D IP65 BK</t>
  </si>
  <si>
    <t>DL SURFACE DN 90 P 15840 36D IP65 BK</t>
  </si>
  <si>
    <t>DL SURFACE DN 90 P 15830 60D IP65 WT</t>
  </si>
  <si>
    <t>DL SURFACE DN 90 P 15840 60D IP65 WT</t>
  </si>
  <si>
    <t>DL SURFACE DN 90 P 15830 60D IP65 BK</t>
  </si>
  <si>
    <t>DL SURFACE DN 90 P 15840 60D IP65 BK</t>
  </si>
  <si>
    <t>DL SURFACE DN 160 P 30830 36D IP65 WT</t>
  </si>
  <si>
    <t>DL SURFACE DN 160 P 30840 36D IP65 WT</t>
  </si>
  <si>
    <t>DL SURFACE DN 160 P 30830 36D IP65 BK</t>
  </si>
  <si>
    <t>DL SURFACE DN 160 P 30840 36D IP65 BK</t>
  </si>
  <si>
    <t>DL SURFACE DN 160 P 30830 60D IP65 WT</t>
  </si>
  <si>
    <t>DL SURFACE DN 160 P 30840 60D IP65 WT</t>
  </si>
  <si>
    <t>DL SURFACE DN 160 P 30830 60D IP65 BK</t>
  </si>
  <si>
    <t>DL SURFACE DN 160 P 30840 60D IP65 BK</t>
  </si>
  <si>
    <t>DL SURFACE DN 250 P 45830 36D IP65 WT</t>
  </si>
  <si>
    <t>DL SURFACE DN 250 P 45840 36D IP65 WT</t>
  </si>
  <si>
    <t>DL SURFACE DN 250 P 45830 36D IP65 BK</t>
  </si>
  <si>
    <t>DL SURFACE DN 250 P 45840 36D IP65 BK</t>
  </si>
  <si>
    <t>DL SURFACE DN 250 P 45830 60D IP65 WT</t>
  </si>
  <si>
    <t>DL SURFACE DN 250 P 45840 60D IP65 WT</t>
  </si>
  <si>
    <t>DL SURFACE DN 250 P 45830 60D IP65 BK</t>
  </si>
  <si>
    <t>DL SURFACE DN 250 P 45840 60D IP65 BK</t>
  </si>
  <si>
    <t xml:space="preserve">DL IP44 DN 90 4830 WT         </t>
  </si>
  <si>
    <t xml:space="preserve">DL IP44 DN 90 4840 WT         </t>
  </si>
  <si>
    <t xml:space="preserve">DL IP44 DN 90 4865 WT         </t>
  </si>
  <si>
    <t xml:space="preserve">DL IP44 DN 115 8830 WT        </t>
  </si>
  <si>
    <t xml:space="preserve">DL IP44 DN 115 8840 WT        </t>
  </si>
  <si>
    <t xml:space="preserve">DL IP44 DN 115 8865 WT        </t>
  </si>
  <si>
    <t xml:space="preserve">DL IP44 DN 165 13830 WT       </t>
  </si>
  <si>
    <t xml:space="preserve">DL IP44 DN 165 13840 WT       </t>
  </si>
  <si>
    <t xml:space="preserve">DL IP44 DN 165 13865 WT       </t>
  </si>
  <si>
    <t xml:space="preserve">DL IP44 DN 190 18830 WT       </t>
  </si>
  <si>
    <t xml:space="preserve">DL IP44 DN 190 18840 WT       </t>
  </si>
  <si>
    <t xml:space="preserve">DL IP44 DN 190 18865 WT       </t>
  </si>
  <si>
    <t xml:space="preserve">DL IP44 DN 215 24830 WT       </t>
  </si>
  <si>
    <t xml:space="preserve">DL IP44 DN 215 24840 WT       </t>
  </si>
  <si>
    <t xml:space="preserve">DL IP44 DN 215 24865 WT       </t>
  </si>
  <si>
    <t xml:space="preserve">DL IP44 DN 215 30830 WT       </t>
  </si>
  <si>
    <t xml:space="preserve">DL IP44 DN 215 30840 WT       </t>
  </si>
  <si>
    <t xml:space="preserve">DL IP44 DN 215 30865 WT       </t>
  </si>
  <si>
    <t xml:space="preserve">DL SLIM ALU D100 V 8MS 840 WT    </t>
  </si>
  <si>
    <t xml:space="preserve">DL SLIM ALU D150 V 13MS 840 WT   </t>
  </si>
  <si>
    <t xml:space="preserve">DL SLIM ALU D175 V 16MS 840 WT   </t>
  </si>
  <si>
    <t xml:space="preserve">DL SLIM ALU D205 V 19MS 840 WT   </t>
  </si>
  <si>
    <t xml:space="preserve">DL SLIM ALU D280 V 25MS 840 WT   </t>
  </si>
  <si>
    <t xml:space="preserve">DL SLIM ALU DA D100 V 9MS 840 WT </t>
  </si>
  <si>
    <t>DL SLIM ALU DA D150 V 13MS 840 WT</t>
  </si>
  <si>
    <t>DL SLIM ALU DA D175 V 16MS 840 WT</t>
  </si>
  <si>
    <t>DL SLIM ALU DA D205 V 19MS 840 WT</t>
  </si>
  <si>
    <t>DL SLIM ALU DA D280 V 25MS 840 WT</t>
  </si>
  <si>
    <t>SP CBO FIX V 6CPS DIM60DEG IP65WT GER 2</t>
  </si>
  <si>
    <t>SP CBO FIX V 5.5CPS 60DEG IP65 WT GER 1</t>
  </si>
  <si>
    <t>SP CBO ADJ V 6CPS DIM60DEG IP65WT GER 2</t>
  </si>
  <si>
    <t>SP CBO ADJ V 5.5CPS 60DEG IP65 WT GER 1</t>
  </si>
  <si>
    <t>SP ADJ P 8927 PS DIM IP20 WT</t>
  </si>
  <si>
    <t>SP ADJ P 8930 PS DIM IP20 WT</t>
  </si>
  <si>
    <t>SP ADJ P 8940 PS DIM IP20 WT</t>
  </si>
  <si>
    <t>SP ADJ P 8927 PS DIM IP20 BK</t>
  </si>
  <si>
    <t>SP ADJ P 8930 PS DIM IP20 BK</t>
  </si>
  <si>
    <t>SP ADJ P 8930 PS DIM IP20 SI</t>
  </si>
  <si>
    <t xml:space="preserve">SP ADJ D83 P 8ML 930 WT </t>
  </si>
  <si>
    <t>SP FP FIX P 8927 PS DIM IP65 WT</t>
  </si>
  <si>
    <t>SP FP FIX P 8930 PS DIM IP65 WT</t>
  </si>
  <si>
    <t>SP FP FIX P 8940 PS DIM IP65 WT</t>
  </si>
  <si>
    <t>SP FP FIX P 8927 PS DIM IP65 BK</t>
  </si>
  <si>
    <t>SP FP FIX P 8930 PS DIM IP65 BK</t>
  </si>
  <si>
    <t>SP FIX P 8927 PS DIM IP44 WT</t>
  </si>
  <si>
    <t>SP FIX P 8930 PS DIM IP44 WT</t>
  </si>
  <si>
    <t>SP FIX P 8940 PS DIM IP44 WT</t>
  </si>
  <si>
    <t>SP FIX P 8927 PS DIM IP44 BK</t>
  </si>
  <si>
    <t>SP FIX P 8930 PS DIM IP44 BK</t>
  </si>
  <si>
    <t>SP FIX P 8930 PS DIM IP44 SI</t>
  </si>
  <si>
    <t>SP DK FIX P 8927 PS DIM IP44 WT</t>
  </si>
  <si>
    <t>SP DK FIX P 8930 PS DIM IP44 WT</t>
  </si>
  <si>
    <t>SP DK FIX P 8940 PS DIM IP44 WT</t>
  </si>
  <si>
    <t>SP DK FIX P 8927 PS DIM IP44 BK</t>
  </si>
  <si>
    <t>SP DK FIX P 8930 PS DIM IP44 BK</t>
  </si>
  <si>
    <t>SP DK FIX P 8930 PS DIM IP44 SI</t>
  </si>
  <si>
    <t>SP AIR FIX P 6927 PS DIM IP65 WT</t>
  </si>
  <si>
    <t>SP AIR FIX P 6930 PS DIM IP65 WT</t>
  </si>
  <si>
    <t>SP AIR FIX P 6940 PS DIM IP65 WT</t>
  </si>
  <si>
    <t>SP AIR FIX P 6927 PS DIM IP65 BK</t>
  </si>
  <si>
    <t>SP AIR FIX P 6930 PS DIM IP65 BK</t>
  </si>
  <si>
    <t>SP AIR FIX P 6930 PS DIM IP65 SI</t>
  </si>
  <si>
    <t>SP AIR ADJ P 4927 DIM IP23 WT</t>
  </si>
  <si>
    <t>SP AIR ADJ P 4930 DIM IP23 WT</t>
  </si>
  <si>
    <t>SP AIR ADJ P 4940 DIM IP23 WT</t>
  </si>
  <si>
    <t>SP AIR ADJ P 4927 DIM IP23 BK</t>
  </si>
  <si>
    <t>SP AIR ADJ P 4930 DIM IP23 BK</t>
  </si>
  <si>
    <t>SP AIR ADJ P 4930 DIM IP23 SI</t>
  </si>
  <si>
    <t>SP KIT ADJ V 7930 GU10 DIM</t>
  </si>
  <si>
    <t>SP KIT ADJ V 7940 GU10 DIM</t>
  </si>
  <si>
    <t>SF COMPACT IK10 300 24 3000 K IP65 WT</t>
  </si>
  <si>
    <t>SF COMPACT IK10 300 24 4000 K IP65 WT</t>
  </si>
  <si>
    <t>SF CIRC 250 V 13 830 IP44</t>
  </si>
  <si>
    <t>SF CIRC 250 V 13 840 IP44</t>
  </si>
  <si>
    <t>SF CIRC 350 V 18 830 IP44</t>
  </si>
  <si>
    <t>SF CIRC 350 V 18 840 IP44</t>
  </si>
  <si>
    <t>SF CIRC 350 V 183CCT IP44</t>
  </si>
  <si>
    <t>SF CIRC 400 V 24 830 IP44</t>
  </si>
  <si>
    <t>SF CIRC 400 V 24 840 IP44</t>
  </si>
  <si>
    <t>SF CIRC 500 V 42830 IP44 PS</t>
  </si>
  <si>
    <t>SF CIRC 500 V 42840 IP44 PS </t>
  </si>
  <si>
    <t xml:space="preserve">SF CIRC 500 V 42830 IP44 DALI    </t>
  </si>
  <si>
    <t xml:space="preserve">SF CIRC 500 V 42840 IP44 DALI    </t>
  </si>
  <si>
    <t>SF CIRC 250 SEN V 13 830 IP44</t>
  </si>
  <si>
    <t>SF CIRC 250 SEN V 13 840 IP44</t>
  </si>
  <si>
    <t>SF CIRC 350 SEN V 18 830 IP44</t>
  </si>
  <si>
    <t>SF CIRC 350 SEN V 18 840 IP44</t>
  </si>
  <si>
    <t>SF CIRC 350 SEN V 183CCT IP44</t>
  </si>
  <si>
    <t>SF CIRC 400 SEN V 24 830 IP44</t>
  </si>
  <si>
    <t>SF CIRC 400 SEN V 24 840 IP44</t>
  </si>
  <si>
    <t>SF CIRC 500 SEN V 42830 IP44 PS</t>
  </si>
  <si>
    <t>SF CIRC 500 SEN V 42840 IP44 PS</t>
  </si>
  <si>
    <t>SF SQUARE 330 V 24830 IP44</t>
  </si>
  <si>
    <t>SF SQUARE 330 V 24840 IP44</t>
  </si>
  <si>
    <t>SF SQUARE 330 SEN V 24830 IP44</t>
  </si>
  <si>
    <t>SF SQUARE 330 SEN V 24840 IP44</t>
  </si>
  <si>
    <t>SF SQUARE 330 V 243CCT IP44</t>
  </si>
  <si>
    <t>SF SQUARE 330 SEN V 243CCT IP44</t>
  </si>
  <si>
    <t>SF FLAT RD 330 P 19CPS</t>
  </si>
  <si>
    <t>SF FLAT SQ 330 P 19CPS</t>
  </si>
  <si>
    <t>SF FLAT RD 500 P 27CPS</t>
  </si>
  <si>
    <t>SF FLAT SQ 500 P 27CPS</t>
  </si>
  <si>
    <t>SF FLAT RD SEN 330 P 19CPS</t>
  </si>
  <si>
    <t>SF FLAT SQ SEN 330 P 19CPS</t>
  </si>
  <si>
    <t>SF FLAT RD SEN 500 P 27CPS</t>
  </si>
  <si>
    <t>SF FLAT SQ SEN 500 P 27CPS</t>
  </si>
  <si>
    <t>BLKH RD 250 P 9,5CPS BK</t>
  </si>
  <si>
    <t>BLKH RD 250 P 9,5CPS WT</t>
  </si>
  <si>
    <t>BLKH RD 300 P 17CPS BK</t>
  </si>
  <si>
    <t>BLKH RD 300 P 17CPS WT</t>
  </si>
  <si>
    <t>BLKH RD SEN 250 P 9,5CPS BK</t>
  </si>
  <si>
    <t>BLKH RD SEN 250 P 9,5CPS WT</t>
  </si>
  <si>
    <t>BLKH RD SEN 300 P 17CPS BK</t>
  </si>
  <si>
    <t>BLKH RD SEN 300 P 17CPS WT</t>
  </si>
  <si>
    <t>BLKH RD EM 250 P 9,5CPS BK</t>
  </si>
  <si>
    <t>SF BLKH 250 EM 10 3000 K BK IP65 | SF BLKH 250 10W/4000K BK IP65 EM</t>
  </si>
  <si>
    <t>BLKH RD EM 250 P 9,5CPS WT</t>
  </si>
  <si>
    <t xml:space="preserve">SF BLKH 250 EM 10 3000 K WT IP65 | SF BLKH 250 10W/4000K WT IP65 EM </t>
  </si>
  <si>
    <t>BLKH RD EM 300 P 17CPS BK</t>
  </si>
  <si>
    <t>SF BLKH 300 EM 15 3000 K BK IP65 | SF BLKH 300 15W/4000K BK IP65 EM</t>
  </si>
  <si>
    <t>BLKH RD EM 300 P 17CPS WT</t>
  </si>
  <si>
    <t>SF BLKH 300 EM 15 3000 K WT IP65 | SF BLKH 300 15W/4000K WT IP65 EM</t>
  </si>
  <si>
    <t>BLKH RD EM SEN 250 P 9,5CPS BK</t>
  </si>
  <si>
    <t>SF BLKH S 250 P 10830 BK IP65 EM | SF BLKH 250 10W/4000K S BK IP65 EM</t>
  </si>
  <si>
    <t>BLKH RD EM SEN 250 P 9,5CPS WT</t>
  </si>
  <si>
    <t>SF BLKH S 250 P 10830 WT IP65 EM  | SF BLKH 250 10W/4000K S WT IP65 EM</t>
  </si>
  <si>
    <t>BLKH RD EM SEN 300 P 17CPS BK</t>
  </si>
  <si>
    <t>SF BLKH S 300 P 15830 BK IP65 EM | SF BLKH 300 15W/4000K S BK IP65 EM</t>
  </si>
  <si>
    <t>BLKH RD EM SEN 300 P 17CPS WT</t>
  </si>
  <si>
    <t>SF BLKH S 300 P 15830 WT IP65 EM | SF BLKH 300 15W/4000K S WT IP65 EM</t>
  </si>
  <si>
    <t>LISOEV 250R 8830 840 BLKH</t>
  </si>
  <si>
    <t>LISOEV 300R 15830 840 BLKH</t>
  </si>
  <si>
    <t>BLKH CBO RD 325 V 16MS 840 WT</t>
  </si>
  <si>
    <t>BLKH CBO RD EL CG 100V 1.53H MT</t>
  </si>
  <si>
    <t>BLKH COMP RC V 8CPS IP65 BK</t>
  </si>
  <si>
    <t>BLKH COMP RC V 8CPS IP65 WT</t>
  </si>
  <si>
    <t>BLKH COMP RC SEN V 8CPS IP65 BK</t>
  </si>
  <si>
    <t>BLKH COMP RC SEN V 8CPS IP65 WT</t>
  </si>
  <si>
    <t>BLKH COMP RC EM V 8CPS IP65 BK</t>
  </si>
  <si>
    <t>BLKH COMP RC EM V 8CPS IP65 WT</t>
  </si>
  <si>
    <t>BLKH COMP RC EMSEN V 8CPS IP65 BK</t>
  </si>
  <si>
    <t>BLKH COMP RC EMSEN V 8CPS IP65 WT</t>
  </si>
  <si>
    <t>PANEL INDV 600 33 3000 K</t>
  </si>
  <si>
    <t>PANEL INDV 600 33 4000 K</t>
  </si>
  <si>
    <t>PANEL INDV 600 33 3000 K DALI</t>
  </si>
  <si>
    <t>PANEL INDV 600 33 4000 K DALI</t>
  </si>
  <si>
    <t>PANEL INDV EM 600 33 3000 K</t>
  </si>
  <si>
    <t>PANEL INDV EM 600 33 4000 K</t>
  </si>
  <si>
    <t xml:space="preserve">PL FLEX 600 S 30840 PS           </t>
  </si>
  <si>
    <t xml:space="preserve">PL FLEX 600 S 30840 U19 PS       </t>
  </si>
  <si>
    <t xml:space="preserve">PL FLEX 600 S 30830 U19 PS       </t>
  </si>
  <si>
    <t xml:space="preserve">PL FLEX 600 DALI S 30840         </t>
  </si>
  <si>
    <t xml:space="preserve">PL FLEX 600 DALI S 30840 U19     </t>
  </si>
  <si>
    <t xml:space="preserve">PL FLEX 600 DALI S 30830 U19      </t>
  </si>
  <si>
    <t>PL PROT 600 P 36830 PS</t>
  </si>
  <si>
    <t>PL PROT 600 P 36840 PS</t>
  </si>
  <si>
    <t>PL PROT 600 P 36830 DALIVR</t>
  </si>
  <si>
    <t>PL PROT 600 P 36840 DALIVR</t>
  </si>
  <si>
    <t>PL PROT 600 P 36840 U19 PS</t>
  </si>
  <si>
    <t>PL PROT 600 P 36840 U19 DALIVR</t>
  </si>
  <si>
    <t>PL CMFT 600 P 28830 PS</t>
  </si>
  <si>
    <t>PL CMFT 600 P 28840 PS</t>
  </si>
  <si>
    <t>PL CMFT 600 P 33830 PS</t>
  </si>
  <si>
    <t>PL CMFT 600 P 33840 PS</t>
  </si>
  <si>
    <t>PL CMFT 600 P 33865 PS</t>
  </si>
  <si>
    <t>PL CMFT 600 P 28830 U19 PS</t>
  </si>
  <si>
    <t>PL CMFT 600 P 28840 U19 PS</t>
  </si>
  <si>
    <t>PL CMFT 600 P 33830 U19 PS</t>
  </si>
  <si>
    <t>PL CMFT 600 P 33840 U19 PS</t>
  </si>
  <si>
    <t>PL CMFT 600 P 33865 U19 PS</t>
  </si>
  <si>
    <t>PL CMFT 600 P 28830 DALIVR</t>
  </si>
  <si>
    <t>PL CMFT 600 P 28840 DALIVR</t>
  </si>
  <si>
    <t>PL CMFT 600 P 33830 DALIVR</t>
  </si>
  <si>
    <t>PL CMFT 600 P 33840 DALIVR</t>
  </si>
  <si>
    <t>PL CMFT 600 P 33865 DALIVR</t>
  </si>
  <si>
    <t>PL CMFT 600 P 33840 ZBVR</t>
  </si>
  <si>
    <t>PL CMFT 600 P 28830 U19 DALIVR</t>
  </si>
  <si>
    <t>PL CMFT 600 P 28840 U19 DALIVR</t>
  </si>
  <si>
    <t>PL CMFT 600 P 33830 U19 DALIVR</t>
  </si>
  <si>
    <t>PL CMFT 600 P 33840 U19 DALIVR</t>
  </si>
  <si>
    <t>PL CMFT 600 P 33865 U19 DALIVR</t>
  </si>
  <si>
    <t>PL CMFT 600 P 33840 U19 ZBVR</t>
  </si>
  <si>
    <t>PL CMFT 600 P 36930 940 U19 CPS</t>
  </si>
  <si>
    <t>PL CMFT 600 P 36930 940 U19 DALIVR</t>
  </si>
  <si>
    <t>PL CMFT 1200 P 33830 PS</t>
  </si>
  <si>
    <t>PL CMFT 1200 P 33840 PS</t>
  </si>
  <si>
    <t>PL CMFT 1200 P 33830 U19 PS</t>
  </si>
  <si>
    <t>PL CMFT 1200 P 33840 U19 PS</t>
  </si>
  <si>
    <t>PL CMFT 1200 P 33830 DALIVR</t>
  </si>
  <si>
    <t>PL CMFT 1200 P 33840 DALIVR</t>
  </si>
  <si>
    <t>PL CMFT 1200 P 33830 U19 DALIVR</t>
  </si>
  <si>
    <t>PL CMFT 1200 P 33840 U19 DALIVR</t>
  </si>
  <si>
    <t>PL COMP 600 V 33830</t>
  </si>
  <si>
    <t>PL COMP 600 V 33840</t>
  </si>
  <si>
    <t>PL COMP 600 V 33865</t>
  </si>
  <si>
    <t>PL COMP 600 V 33830 DALI</t>
  </si>
  <si>
    <t>PL COMP 600 V 33840 DALI</t>
  </si>
  <si>
    <t>PL COMP 600 V 33865 DALI</t>
  </si>
  <si>
    <t>PL COMP 600 V 33830 U19</t>
  </si>
  <si>
    <t>PL COMP 600 V 33840 U19</t>
  </si>
  <si>
    <t>PL COMP 600 V 33865 U19</t>
  </si>
  <si>
    <t xml:space="preserve">PL COMP 600 V 35830 840 U19 PS   </t>
  </si>
  <si>
    <t>PL COMP 600 V 33830 U19 DALI</t>
  </si>
  <si>
    <t>PL COMP 600 V 33840 U19 DALI</t>
  </si>
  <si>
    <t>PL COMP 600 V 33865 U19 DALI</t>
  </si>
  <si>
    <t xml:space="preserve">PL COMP 600 V 35830 840 U19 DALI </t>
  </si>
  <si>
    <t>PL COMP 600 V 30940 U19</t>
  </si>
  <si>
    <t>PL COMP 600 V 35940 U19</t>
  </si>
  <si>
    <t>PL COMP 600 V 35940 U19 DALI</t>
  </si>
  <si>
    <t>PL COMP 1200 V 33840</t>
  </si>
  <si>
    <t>PL COMP 1200 V 33840 U19</t>
  </si>
  <si>
    <t>PL COMP 1200 V 33840 DALI</t>
  </si>
  <si>
    <t>PL COMP 1200 V 33840 U19 DALI</t>
  </si>
  <si>
    <t>PL COMP 1200 V 35940 U19</t>
  </si>
  <si>
    <t>PL COMP 1200 V 35940 U19 DALI</t>
  </si>
  <si>
    <t xml:space="preserve">PL COMP 1200x600 V 53840 </t>
  </si>
  <si>
    <t xml:space="preserve">PL COMP 1200x600 V 53840 DALI </t>
  </si>
  <si>
    <t>PL COMP 1200X600 V 53840 U19</t>
  </si>
  <si>
    <t>PL COMP 1200X600 V 53840 U19 DALI</t>
  </si>
  <si>
    <t>PL ECO 600 E 36830</t>
  </si>
  <si>
    <t>PL ECO 600 E 36840</t>
  </si>
  <si>
    <t>PL ECO 600 E 36865</t>
  </si>
  <si>
    <t>PL ECO 600 E 36830 U19</t>
  </si>
  <si>
    <t>PL ECO 600 E 36840 U19</t>
  </si>
  <si>
    <t>PL ECO 600 E 36865 U19</t>
  </si>
  <si>
    <t>PL LOUVER 600 V 27.5840 U16 WT</t>
  </si>
  <si>
    <t>PL LOUVER 600 V 27.5840 U16 BK</t>
  </si>
  <si>
    <t>PL LOUVER 600 V27.5840 U16 WT DALI</t>
  </si>
  <si>
    <t>PL LOUVER 600 V27.5840 U16 BK DALI</t>
  </si>
  <si>
    <t>PL LOUVER 1200 V 27.5840 U16 WT</t>
  </si>
  <si>
    <t>PL LOUVER 1200 V 27.5840 U16 BK</t>
  </si>
  <si>
    <t>PL LOUVER 1200V27.5840 U16 WT DALI</t>
  </si>
  <si>
    <t>PANEL D/I 1200 364000K UGR 19</t>
  </si>
  <si>
    <t>PANEL D/I 1200 363000K UGR 19</t>
  </si>
  <si>
    <t>LN INV D 1200 P 40930 PS WT</t>
  </si>
  <si>
    <t>LN INV D 1200 P 40940 PS WT</t>
  </si>
  <si>
    <t xml:space="preserve">LN INV D 1200 P 40930 PS BK      </t>
  </si>
  <si>
    <t xml:space="preserve">LN INV D 1200 P 40940 PS BK      </t>
  </si>
  <si>
    <t>LN INV D 1500 P 52930 PS WT</t>
  </si>
  <si>
    <t>LN INV D 1500 P 52 940 PS WT</t>
  </si>
  <si>
    <t xml:space="preserve">LN INV D 1500 P 52930 PS BK      </t>
  </si>
  <si>
    <t xml:space="preserve">LN INV D 1500 P 52940 PS BK      </t>
  </si>
  <si>
    <t>LN INV D 1200 P 40930 DAVR WT</t>
  </si>
  <si>
    <t>LN INV D 1200 P 40940 DAVR WT</t>
  </si>
  <si>
    <t xml:space="preserve">LN INV D 1200 P 40930 DAVR BK    </t>
  </si>
  <si>
    <t xml:space="preserve">LN INV D 1200 P 40940 DAVR BK    </t>
  </si>
  <si>
    <t>LN INV D 1500 P 52930 DAVR WT</t>
  </si>
  <si>
    <t>LN INV D 1500 P 52940 DAVR WT</t>
  </si>
  <si>
    <t xml:space="preserve">LN INV D 1500 P 52930 DAVR BK    </t>
  </si>
  <si>
    <t xml:space="preserve">LN INV D 1500 P 52940 DAVR BK    </t>
  </si>
  <si>
    <t xml:space="preserve">LN INV D 1200 P 40930 PS ASY WT  </t>
  </si>
  <si>
    <t xml:space="preserve">LN INV D 1200 P 40940 PS ASY WT  </t>
  </si>
  <si>
    <t>LN INV D 1200 P 40930 DAVR ASY WT</t>
  </si>
  <si>
    <t>LN INV D 1200 P 40940 DAVR ASY WT</t>
  </si>
  <si>
    <t>LN INV D 1200 P 40930 DAVR SN WT</t>
  </si>
  <si>
    <t>LN INV D 1200 P 40940 DAVR SN WT</t>
  </si>
  <si>
    <t>LN INV D 1200 P 40930 DAVR SN BK</t>
  </si>
  <si>
    <t>LN INV D 1200 P 40940 DAVR SN BK</t>
  </si>
  <si>
    <t xml:space="preserve">LN INV D 1500 P 52930 DAVR SN WT </t>
  </si>
  <si>
    <t xml:space="preserve">LN INV D 1500 P 52940 DAVR SN WT </t>
  </si>
  <si>
    <t>LN INV D 1500 P 52930  DAVR SN BK</t>
  </si>
  <si>
    <t>LN INV D 1500 P 52940  DAVR SN BK</t>
  </si>
  <si>
    <t>LN INV D 1200 P 40930 DAVR EM WT</t>
  </si>
  <si>
    <t>LN INV D 1200 P 40940 DAVR EM WT</t>
  </si>
  <si>
    <t xml:space="preserve">LN INV D 1200 P 40930 EM WT      </t>
  </si>
  <si>
    <t xml:space="preserve">LN INV D 1200 P 40940  EM BK     </t>
  </si>
  <si>
    <t xml:space="preserve">LN INV D 1200 P 40940 EM WT      </t>
  </si>
  <si>
    <t xml:space="preserve">LN INV D 1500 P 52930 DAVR EM BK </t>
  </si>
  <si>
    <t xml:space="preserve">LN INV D 1500 P 52930 DAVR EM WT </t>
  </si>
  <si>
    <t xml:space="preserve">LN INV D 1500 P 52940 DAVR EM BK </t>
  </si>
  <si>
    <t xml:space="preserve">LN INV D 1500 P 52940 DAVR EM WT </t>
  </si>
  <si>
    <t xml:space="preserve">LN INV D 1500 P 52930 EM BK      </t>
  </si>
  <si>
    <t xml:space="preserve">LN INV D 1500 P 52930 EM WT      </t>
  </si>
  <si>
    <t xml:space="preserve">LN INV D 1500 P 52940 EM BK      </t>
  </si>
  <si>
    <t xml:space="preserve">LN INV D 1500 P 52940 EM WT      </t>
  </si>
  <si>
    <t>LN INV DI 1500 P 69940 EM WT</t>
  </si>
  <si>
    <t xml:space="preserve">LN INV DI 1200 P 55930 PS WT  </t>
  </si>
  <si>
    <t xml:space="preserve">LN INV DI 1200 P 55940 PS WT  </t>
  </si>
  <si>
    <t xml:space="preserve">LN INV DI 1200 P 55930 PS BK     </t>
  </si>
  <si>
    <t xml:space="preserve">LN INV DI 1200 P 55940 PS BK     </t>
  </si>
  <si>
    <t xml:space="preserve">LN INV DI 1500 P 69930 PS WT </t>
  </si>
  <si>
    <t>LN INV DI 1500 P 69940 PS WT</t>
  </si>
  <si>
    <t xml:space="preserve">LN INV DI 1500 P 69930 PS BK     </t>
  </si>
  <si>
    <t xml:space="preserve">LN INV DI 1500 P 69940 PS BK     </t>
  </si>
  <si>
    <t>LN INV DI 1200 P 54930 DAVR WT</t>
  </si>
  <si>
    <t>LN INV DI 1200 P 54940 DAVR WT</t>
  </si>
  <si>
    <t>LN INV DI 1500 P 69930 DAVR WT</t>
  </si>
  <si>
    <t>LN INV DI 1500 P 69940 DAVR WT</t>
  </si>
  <si>
    <t xml:space="preserve">LN INV DI 1200 P 54930 DAVR BK   </t>
  </si>
  <si>
    <t xml:space="preserve">LN INV DI 1200 P 54940 DAVR BK   </t>
  </si>
  <si>
    <t xml:space="preserve">LN INV DI 1500 P 69930 DAVR BK   </t>
  </si>
  <si>
    <t xml:space="preserve">LN INV DI 1500 P 69940 DAVR BK   </t>
  </si>
  <si>
    <t>LN INV DI 1200 P 54930 DAVR SN WT</t>
  </si>
  <si>
    <t>LN INV DI 1200 P 54940 DAVR SN WT</t>
  </si>
  <si>
    <t>LN INV DI 1200 P 54930 DAVR SN BK</t>
  </si>
  <si>
    <t>LN INV DI 1200 P 54940 DAVR SN BK</t>
  </si>
  <si>
    <t>LN INV DI 1500 P 69930 DAVR SN WT</t>
  </si>
  <si>
    <t>LN INV DI 1500 P 69940 DAVR SN WT</t>
  </si>
  <si>
    <t>LN INV DI 1500 P 69930 DAVR SN BK</t>
  </si>
  <si>
    <t>LN INV DI 1500 P 69940 DAVR SN BK</t>
  </si>
  <si>
    <t>LN INV DI 1200 P 54930 DAVR EM WT</t>
  </si>
  <si>
    <t>LN INV DI 1200 P 54940 DAVR EM WT</t>
  </si>
  <si>
    <t>LN INV DI 1200 P 54930 DAVR EM BK</t>
  </si>
  <si>
    <t>LN INV DI 1200 P 54940 DAVR EM BK</t>
  </si>
  <si>
    <t>LN INV DI 1200 P 55930 EM WT</t>
  </si>
  <si>
    <t>LN INV DI 1200 P 55940 EM WT</t>
  </si>
  <si>
    <t>LN INV DI 1200 P 55930 EM BK</t>
  </si>
  <si>
    <t>LN INV DI 1200 P 55940 EM BK</t>
  </si>
  <si>
    <t>LN INV DI 1500 P 69930 DAVR EM BK</t>
  </si>
  <si>
    <t>LN INV DI 1500 P 69930 DAVR EM WT</t>
  </si>
  <si>
    <t>LN INV DI 1500 P 69940 DAVR EM BK</t>
  </si>
  <si>
    <t>LN INV DI 1500 P 69940 DAVR EM WT</t>
  </si>
  <si>
    <t>LN INV DI 1500 P 69930 EM BK</t>
  </si>
  <si>
    <t>LN INV DI 1500 P 69930 EM WT</t>
  </si>
  <si>
    <t>LN INV DI 1500 P 69940 EM BK</t>
  </si>
  <si>
    <t>LISOEV 1060x28 48 38930 S90U19 GY</t>
  </si>
  <si>
    <t>LISOEV 1060x28 51 38940 S90U19 GY</t>
  </si>
  <si>
    <t>LISOEV 1325x28 61 50930 S90U19 GY</t>
  </si>
  <si>
    <t>LISOEV 1060x28 48 38930 S130</t>
  </si>
  <si>
    <t>LISOEV 1060x28 51 38940 S130</t>
  </si>
  <si>
    <t>LISOEV 1174x31 21 17930 S130</t>
  </si>
  <si>
    <t>LISOEV 1174x31 23 17940 S130</t>
  </si>
  <si>
    <t>LISOEV 1325x28 61 50930 S130</t>
  </si>
  <si>
    <t>LISOEV 1325x28 66 50940 S130</t>
  </si>
  <si>
    <t>LISOEV 1439x31 27 22930 S130</t>
  </si>
  <si>
    <t>LISOEV 1439x31 29 22940 S130</t>
  </si>
  <si>
    <t>LISOEV 1325x28 66 50940 S90U19 GY</t>
  </si>
  <si>
    <t>LN UO P 1200 27CPS WT </t>
  </si>
  <si>
    <t>LN UO 1200 25 4000 K | LN UO 1200 33 3000 K | LN UO 1200 33 4000 K</t>
  </si>
  <si>
    <t>LN UO P 1500 48CPS WT</t>
  </si>
  <si>
    <t>LN UO 1500 30 4000 K | LN UO 1500 46 3000 K | LN UO 1500 46 4000 K | LN UO 1500 60 4000 K</t>
  </si>
  <si>
    <t xml:space="preserve">LN UO EL 1200 P 27CPS WT         </t>
  </si>
  <si>
    <t>LN UO EM 1200 33 4000 K | LN UO EM 1200 25 4000 K | LN UO EM 1200 33 3000 K | LINEAR UO EM 1200 253000K</t>
  </si>
  <si>
    <t xml:space="preserve">LN UO EL 1500 P 48CPS WT         </t>
  </si>
  <si>
    <t>LN UO EM 1500 46 4000 K | LN UO EM 1500 30 4000 K | LN UO EM 1500 30 3000 K | LN UO EM 1500 60 4000 K</t>
  </si>
  <si>
    <t xml:space="preserve">LN COMBO 1200 V 40PS 3CCT WT  </t>
  </si>
  <si>
    <t xml:space="preserve">LN COMBO 1500 V 60PS 3CCT WT  </t>
  </si>
  <si>
    <t xml:space="preserve">LN COMBO 1200 V 403CCT SEN WT </t>
  </si>
  <si>
    <t xml:space="preserve">LN COMBO 1500 V 603CCT SEN WT </t>
  </si>
  <si>
    <t>LN COMBO 1200 V 403CCT DALI WT</t>
  </si>
  <si>
    <t>LN COMBO 1500 V 603CCT DALI WT</t>
  </si>
  <si>
    <t>LN SF 600 P 18830 WT IP44</t>
  </si>
  <si>
    <t>LN SF 600 P 18840 WT IP44</t>
  </si>
  <si>
    <t>LN SF 1200 P 32830 WT IP44</t>
  </si>
  <si>
    <t>LN SF 1200 P 32840 WT IP44</t>
  </si>
  <si>
    <t>LN SF 1500 P 45830 WT IP44</t>
  </si>
  <si>
    <t>LN SF 1500 P 45840 WT IP44</t>
  </si>
  <si>
    <t>LN SF 600 P 18830 WT IP44 DALI</t>
  </si>
  <si>
    <t>LN SF 600 P 18840 WT IP44 DALI</t>
  </si>
  <si>
    <t>LN SF 1200 P 32830 WT IP44 DALI</t>
  </si>
  <si>
    <t>LN SF 1200 P 32840 WT IP44 DALI</t>
  </si>
  <si>
    <t>LN SF 1500 P 45830 WT IP44 DALI</t>
  </si>
  <si>
    <t>LN SF 1500 P 45840 WT IP44 DALI</t>
  </si>
  <si>
    <t>LN SF 600 P 18830 WT IP44 EM</t>
  </si>
  <si>
    <t>LN SF 600 P 18840 WT IP44 EM</t>
  </si>
  <si>
    <t>LN SF 1200 P 32830 WT IP44 EM</t>
  </si>
  <si>
    <t>LN SF 1200 P 32840 WT IP44 EM</t>
  </si>
  <si>
    <t>LN SF 1500 P 45830 WT IP44 EM</t>
  </si>
  <si>
    <t>LN SF 1500 P 45840 WT IP44 EM</t>
  </si>
  <si>
    <t>LN COMP SWITCH 300 4 3000 K</t>
  </si>
  <si>
    <t>LN COMP SWITCH 300 4 4000 K</t>
  </si>
  <si>
    <t>LN COMP SWITCH 600 8 3000 K</t>
  </si>
  <si>
    <t>LN COMP SWITCH 600 8 4000 K</t>
  </si>
  <si>
    <t>LN COMP SWITCH 900 12 3000 K</t>
  </si>
  <si>
    <t>LN COMP SWITCH 900 12 4000 K</t>
  </si>
  <si>
    <t>LN COMP SWITCH 1200 14 3000 K</t>
  </si>
  <si>
    <t>LN COMP SWITCH 1200 14 4000 K</t>
  </si>
  <si>
    <t>LN COMP HO 600 10 3000 K</t>
  </si>
  <si>
    <t>LN COMP HO 600 10 4000 K</t>
  </si>
  <si>
    <t>LN COMP HO 900 15 3000 K</t>
  </si>
  <si>
    <t>LN COMP HO 900 15 4000 K</t>
  </si>
  <si>
    <t>LN COMP HO 1200 20 3000 K</t>
  </si>
  <si>
    <t>LN COMP HO 1200 20 4000 K</t>
  </si>
  <si>
    <t>LN COMP HO 1500 25 3000 K</t>
  </si>
  <si>
    <t>LN COMP HO 1500 25 4000 K</t>
  </si>
  <si>
    <t>LN COMP Batten 600 10 3000 K</t>
  </si>
  <si>
    <t>LN COMP Batten 600 10 4000 K</t>
  </si>
  <si>
    <t>LN COMP Batten 1200 20 3000 K</t>
  </si>
  <si>
    <t>LN COMP Batten 1200 20 4000 K</t>
  </si>
  <si>
    <t>LN COMP Batten 1500 25 3000 K</t>
  </si>
  <si>
    <t>LN COMP Batten 1500 25 4000 K</t>
  </si>
  <si>
    <t>TRUSYS FLEX P 35840 VCL WT</t>
  </si>
  <si>
    <t>TRUSYS FLEX P 35865 VCL WT</t>
  </si>
  <si>
    <t>TRUSYS FLEX P 35840 CL WT</t>
  </si>
  <si>
    <t>TRUSYS FLEX P 35865 CL WT</t>
  </si>
  <si>
    <t>TRUSYS FLEX P 35840 OP WT</t>
  </si>
  <si>
    <t>TRUSYS FLEX P 35865 OP WT</t>
  </si>
  <si>
    <t>TRUSYS FLEX P 35840 WCL WT</t>
  </si>
  <si>
    <t>TRUSYS FLEX P 35865 WCL WT</t>
  </si>
  <si>
    <t>TRUSYS FLEX P 35840 N CL WT</t>
  </si>
  <si>
    <t>TRUSYS FLEX P 35865 N CL WT</t>
  </si>
  <si>
    <t>TRUSYS FLEX P 35840 VN CL WT</t>
  </si>
  <si>
    <t>TRUSYS FLEX P 35865 VN CL WT</t>
  </si>
  <si>
    <t>TRUSYS FLEX P 35840 DS CL WT</t>
  </si>
  <si>
    <t>TRUSYS FLEX P 35865 DS CL WT</t>
  </si>
  <si>
    <t>TRUSYS FLEX P 50840 VCL WT</t>
  </si>
  <si>
    <t>TRUSYS FLEX P 50865 VCL WT</t>
  </si>
  <si>
    <t>TRUSYS FLEX P 50840 CL WT</t>
  </si>
  <si>
    <t>TRUSYS FLEX P 50865 CL WT</t>
  </si>
  <si>
    <t>TRUSYS FLEX P 50840 OP WT</t>
  </si>
  <si>
    <t>TRUSYS FLEX P 50865 OP WT</t>
  </si>
  <si>
    <t>TRUSYS FLEX P 50840 WCL WT</t>
  </si>
  <si>
    <t>TRUSYS FLEX P 50865 WCL WT</t>
  </si>
  <si>
    <t>TRUSYS FLEX P 50840 N CL WT</t>
  </si>
  <si>
    <t>TRUSYS FLEX P 50865 N CL WT</t>
  </si>
  <si>
    <t>TRUSYS FLEX P 50840 VN CL WT</t>
  </si>
  <si>
    <t>TRUSYS FLEX P 50865 VN CL WT</t>
  </si>
  <si>
    <t>TRUSYS FLEX P 50840 DS CL WT</t>
  </si>
  <si>
    <t>TRUSYS FLEX P 50865 DS CL WT</t>
  </si>
  <si>
    <t>TRUSYS FLEX P 70840 VCL WT</t>
  </si>
  <si>
    <t>TRUSYS FLEX P 70865 VCL WT</t>
  </si>
  <si>
    <t>TRUSYS FLEX P 70840 CL WT</t>
  </si>
  <si>
    <t>TRUSYS FLEX P 70865 CL WT</t>
  </si>
  <si>
    <t>TRUSYS FLEX P 70840 OP WT</t>
  </si>
  <si>
    <t>TRUSYS FLEX P 70865 OP WT</t>
  </si>
  <si>
    <t>TRUSYS FLEX P 70840 WCL WT</t>
  </si>
  <si>
    <t>TRUSYS FLEX P 70865 WCL WT</t>
  </si>
  <si>
    <t>TRUSYS FLEX P 70840 N CL WT</t>
  </si>
  <si>
    <t>TRUSYS FLEX P 70865 N CL WT</t>
  </si>
  <si>
    <t>TRUSYS FLEX P 70840 VN CL WT</t>
  </si>
  <si>
    <t>TRUSYS FLEX P 70865 VN CL WT</t>
  </si>
  <si>
    <t>TRUSYS FLEX P 70840 DS CL WT</t>
  </si>
  <si>
    <t>TRUSYS FLEX P 70865 DS CL WT</t>
  </si>
  <si>
    <t>TRUSYS FLEX P 35840 VCL WT DALI</t>
  </si>
  <si>
    <t>TRUSYS FLEX P 35865 VCL WT DALI</t>
  </si>
  <si>
    <t>TRUSYS FLEX P 35840 CL WT DALI</t>
  </si>
  <si>
    <t>TRUSYS FLEX P 35865 CL WT DALI</t>
  </si>
  <si>
    <t>TRUSYS FLEX P 35840 OP WT DALI</t>
  </si>
  <si>
    <t>TRUSYS FLEX P 35865 OP WT DALI</t>
  </si>
  <si>
    <t>TRUSYS FLEX P 35840 WCL WT DALI</t>
  </si>
  <si>
    <t>TRUSYS FLEX P 35865 WCL WT DALI</t>
  </si>
  <si>
    <t>TRUSYS FLEX P 35840 N CL WT DALI</t>
  </si>
  <si>
    <t>TRUSYS FLEX P 35865 N CL WT DALI</t>
  </si>
  <si>
    <t>TRUSYS FLEX P 35840 VN CL WT DALI</t>
  </si>
  <si>
    <t>TRUSYS FLEX P 35865 VN CL WT DALI</t>
  </si>
  <si>
    <t>TRUSYS FLEX P 35840 DS CL WT DALI</t>
  </si>
  <si>
    <t>TRUSYS FLEX P 35865 DS CL WT DALI</t>
  </si>
  <si>
    <t>TRUSYS FLEX P 50840 VCL WT DALI</t>
  </si>
  <si>
    <t>TRUSYS FLEX P 50865 VCL WT DALI</t>
  </si>
  <si>
    <t>TRUSYS FLEX P 50840 CL WT DALI</t>
  </si>
  <si>
    <t>TRUSYS FLEX P 50865 CL WT DALI</t>
  </si>
  <si>
    <t>TRUSYS FLEX P 50840 OP WT DALI</t>
  </si>
  <si>
    <t>TRUSYS FLEX P 50865 OP WT DALI</t>
  </si>
  <si>
    <t>TRUSYS FLEX P 50840 WCL WT DALI</t>
  </si>
  <si>
    <t>TRUSYS FLEX P 50865 WCL WT DALI</t>
  </si>
  <si>
    <t>TRUSYS FLEX P 50840 N CL WT DALI</t>
  </si>
  <si>
    <t>TRUSYS FLEX P 50865 N CL WT DALI</t>
  </si>
  <si>
    <t>TRUSYS FLEX P 50840 VN CL WT DALI</t>
  </si>
  <si>
    <t>TRUSYS FLEX P 50865 VN CL WT DALI</t>
  </si>
  <si>
    <t>TRUSYS FLEX P 50840 DS CL WT DALI</t>
  </si>
  <si>
    <t>TRUSYS FLEX P 50865 DS CL WT DALI</t>
  </si>
  <si>
    <t>TRUSYS FLEX P 70840 VCL WT DALI</t>
  </si>
  <si>
    <t>TRUSYS FLEX P 70865 VCL WT DALI</t>
  </si>
  <si>
    <t>TRUSYS FLEX P 70840 CL WT DALI</t>
  </si>
  <si>
    <t>TRUSYS FLEX P 70865 CL WT DALI</t>
  </si>
  <si>
    <t>TRUSYS FLEX P 70840 OP WT DALI</t>
  </si>
  <si>
    <t>TRUSYS FLEX P 70865 OP WT DALI</t>
  </si>
  <si>
    <t>TRUSYS FLEX P 70840 WCL WT DALI</t>
  </si>
  <si>
    <t>TRUSYS FLEX P 70865 WCL WT DALI</t>
  </si>
  <si>
    <t>TRUSYS FLEX P 70840 N CL WT DALI</t>
  </si>
  <si>
    <t>TRUSYS FLEX P 70865 N CL WT DALI</t>
  </si>
  <si>
    <t>TRUSYS FLEX P 70840 VN CL WT DALI</t>
  </si>
  <si>
    <t>TRUSYS FLEX P 70865 VN CL WT DALI</t>
  </si>
  <si>
    <t>TRUSYS FLEX P 70840 DS CL WT DALI</t>
  </si>
  <si>
    <t xml:space="preserve"> TRUSYS FLEX P 70865 DS CL WT DALI</t>
  </si>
  <si>
    <t>TRUSYS FLEX P 35840 VCL WT EM</t>
  </si>
  <si>
    <t>TRUSYS FLEX P 35865 VCL WT EM</t>
  </si>
  <si>
    <t>TRUSYS FLEX P 35840 CL WT EM</t>
  </si>
  <si>
    <t>TRUSYS FLEX P 35865 CL WT EM</t>
  </si>
  <si>
    <t>TRUSYS FLEX P 35840 OP WT EM</t>
  </si>
  <si>
    <t>TRUSYS FLEX P 35865 OP WT EM</t>
  </si>
  <si>
    <t>TRUSYS FLEX P 35840 WCL WT EM</t>
  </si>
  <si>
    <t>TRUSYS FLEX P 35865 WCL WT EM</t>
  </si>
  <si>
    <t>TRUSYS FLEX P 35840 N CL WT EM</t>
  </si>
  <si>
    <t>TRUSYS FLEX P 35865 N CL WT EM</t>
  </si>
  <si>
    <t>TRUSYS FLEX P 35840 VN CL WT EM</t>
  </si>
  <si>
    <t>TRUSYS FLEX P 35865 VN CL WT EM</t>
  </si>
  <si>
    <t>TRUSYS FLEX P 35840 DS CL WT EM</t>
  </si>
  <si>
    <t>TRUSYS FLEX P 35865 DS CL WT EM</t>
  </si>
  <si>
    <t>TRUSYS FLEX P 50840 VCL WT EM</t>
  </si>
  <si>
    <t>TRUSYS FLEX P 50865 VCL WT EM</t>
  </si>
  <si>
    <t>TRUSYS FLEX P 50840 CL WT EM</t>
  </si>
  <si>
    <t>TRUSYS FLEX P 50865 CL WT EM</t>
  </si>
  <si>
    <t>TRUSYS FLEX P 50840 OP WT EM</t>
  </si>
  <si>
    <t>TRUSYS FLEX P 50865 OP WT EM</t>
  </si>
  <si>
    <t>TRUSYS FLEX P 50840 WCL WT EM</t>
  </si>
  <si>
    <t>TRUSYS FLEX P 50865 WCL WT EM</t>
  </si>
  <si>
    <t>TRUSYS FLEX P 50840 N CL WT EM</t>
  </si>
  <si>
    <t>TRUSYS FLEX P 50865 N CL WT EM</t>
  </si>
  <si>
    <t>TRUSYS FLEX P 50840 VN CL WT EM</t>
  </si>
  <si>
    <t>TRUSYS FLEX P 50865 VN CL WT EM</t>
  </si>
  <si>
    <t>TRUSYS FLEX P 50840 DS CL WT EM</t>
  </si>
  <si>
    <t>TRUSYS FLEX P 50865 DS CL WT EM</t>
  </si>
  <si>
    <t>TRUSYS FLEX P 70840 VCL WT EM</t>
  </si>
  <si>
    <t>TRUSYS FLEX P 70865 VCL WT EM</t>
  </si>
  <si>
    <t>TRUSYS FLEX P 70840 CL WT EM</t>
  </si>
  <si>
    <t>TRUSYS FLEX P 70865 CL WT EM</t>
  </si>
  <si>
    <t>TRUSYS FLEX P 70840 OP WT EM</t>
  </si>
  <si>
    <t>TRUSYS FLEX P 70865 OP WT EM</t>
  </si>
  <si>
    <t>TRUSYS FLEX P 70840 WCL WT EM</t>
  </si>
  <si>
    <t>TRUSYS FLEX P 70865 WCL WT EM</t>
  </si>
  <si>
    <t>TRUSYS FLEX P 70840 N CL WT EM</t>
  </si>
  <si>
    <t>TRUSYS FLEX P 70865 N CL WT EM</t>
  </si>
  <si>
    <t>TRUSYS FLEX P 70840 VN CL WT EM</t>
  </si>
  <si>
    <t>TRUSYS FLEX P 70865 VN CL WT EM</t>
  </si>
  <si>
    <t>TRUSYS FLEX P 70840 DS CL WT EM</t>
  </si>
  <si>
    <t xml:space="preserve"> TRUSYS FLEX P 70865 DS CL WT EM</t>
  </si>
  <si>
    <t xml:space="preserve">TRUSYS FLEX T5 TRACK REFLECTOR V </t>
  </si>
  <si>
    <t>TRUSYS FLEX END CAP LORAIL WT (topo baixo p/interligação c/ tampas) (saco 2 unid.)</t>
  </si>
  <si>
    <t>TRUSYS UNIV P 73840 VN CL PS</t>
  </si>
  <si>
    <t>TRUSYS UNIV P 73840 N CL PS</t>
  </si>
  <si>
    <t>TRUSYS UNIV P 73840 CL PS</t>
  </si>
  <si>
    <t>TRUSYS UNIV P 75840 VN CL DALI</t>
  </si>
  <si>
    <t>TRUSYS UNIV P 75840 N CL DALI</t>
  </si>
  <si>
    <t>TRUSYS UNIV P 75840 CL DALI</t>
  </si>
  <si>
    <t xml:space="preserve">DP MAX 1200 S 27840 VIP69      </t>
  </si>
  <si>
    <t>DP MAX 1200 S 43840 VN IP69</t>
  </si>
  <si>
    <t xml:space="preserve">DP MAX 1200 S 43840 VIP69      </t>
  </si>
  <si>
    <t>DP MAX 1200 S 43840 XIP69</t>
  </si>
  <si>
    <t xml:space="preserve">DP MAX 1500 S 38840 VIP69      </t>
  </si>
  <si>
    <t>DP MAX 1500 S 52840 VN IP69</t>
  </si>
  <si>
    <t xml:space="preserve">DP MAX 1500 S 52840 VIP69      </t>
  </si>
  <si>
    <t>DP MAX 1500 S 52840 XIP69</t>
  </si>
  <si>
    <t xml:space="preserve">DP MAX 600 S 15840 VIP69       </t>
  </si>
  <si>
    <t xml:space="preserve">DP MAX 600 S 25840 VIP69       </t>
  </si>
  <si>
    <t>DP MAX DA 1200 S 43840 VIP69   </t>
  </si>
  <si>
    <t>DP MAX DA 1500 S 52840 VIP69   </t>
  </si>
  <si>
    <t>DP MAX EL 1200 S 30840 VIP69   </t>
  </si>
  <si>
    <t>DP MAX EL 1500 S 41840 VIP69   </t>
  </si>
  <si>
    <t xml:space="preserve">DP MAX EL 600 S 18840 VIP69    </t>
  </si>
  <si>
    <t>DP MAX EL SN 1200 S 31840 VIP69</t>
  </si>
  <si>
    <t>DP MAX EL SN 1500 S 42840 VIP69</t>
  </si>
  <si>
    <t>DP MAX SN 1200 S 28840 VIP69   </t>
  </si>
  <si>
    <t>DP MAX SN 1500 S 39840 VIP69   </t>
  </si>
  <si>
    <t>DP SPECIAL 1200 22 4000 K WT IP67</t>
  </si>
  <si>
    <t>DP SPECIAL 1200 42 4000 K WT IP67</t>
  </si>
  <si>
    <t>DP SPECIAL 1500 30 4000 K WT IP67</t>
  </si>
  <si>
    <t>DP SPECIAL 1500 50 4000 K WT IP67</t>
  </si>
  <si>
    <t>DP FLEX TH 1200 P 34ML 830 IP66</t>
  </si>
  <si>
    <t>DP FLEX TH 1200 P 34ML 840 IP66</t>
  </si>
  <si>
    <t>DP FLEX TH 1200 P 34ML 865 IP66</t>
  </si>
  <si>
    <t>DP FLEX TH 1500 P 42ML 830 IP66</t>
  </si>
  <si>
    <t>DP FLEX TH 1500 P 42ML 840 IP66</t>
  </si>
  <si>
    <t>DP FLEX TH 1500 P 42ML 865 IP66</t>
  </si>
  <si>
    <t>DP COMPACT 1200 23 3000K IP66 GR</t>
  </si>
  <si>
    <t>DP COMPACT 1200 23 4000K IP66 GR</t>
  </si>
  <si>
    <t>DP COMPACT 1200 44 3000K IP66 GR</t>
  </si>
  <si>
    <t>DP COMPACT 1200 44 4000K IP66 GR</t>
  </si>
  <si>
    <t>DP COMPACT 1200 44 6500K IP66 GR</t>
  </si>
  <si>
    <t>DP COMPACT 1500 31 3000K IP66 GR</t>
  </si>
  <si>
    <t>DP COMPACT 1500 31 4000K IP66 GR</t>
  </si>
  <si>
    <t>DP COMPACT 1500 55 3000K IP66 GR</t>
  </si>
  <si>
    <t>DP COMPACT 1500 55 4000K IP66 GR</t>
  </si>
  <si>
    <t>DP COMPACT 1500 55 6500K IP66 GR</t>
  </si>
  <si>
    <t>DP COMP 600 V 16840 IP66</t>
  </si>
  <si>
    <t>DP COMP 1200 V 33840 IP66 PS</t>
  </si>
  <si>
    <t>DP COMP 1500 V 50840 IP66 PS</t>
  </si>
  <si>
    <t>DP COMP TH 1200 V 33840 IP66 PS</t>
  </si>
  <si>
    <t>DP COMP TH 1200 V 33865 IP66 PS</t>
  </si>
  <si>
    <t>DP COMP TH 1500 V 50840 IP66 PS</t>
  </si>
  <si>
    <t>DP COMP TH 1500 V 50865 IP66 PS</t>
  </si>
  <si>
    <t>DP COMP TH 1500 V 62840 IP66</t>
  </si>
  <si>
    <t xml:space="preserve">DP HE 1200 P 29ML 840 IP65       </t>
  </si>
  <si>
    <t xml:space="preserve">DP HE 1500 P 40ML 840 IP65       </t>
  </si>
  <si>
    <t xml:space="preserve">DP HE 1500 P 73ML 840 IP65       </t>
  </si>
  <si>
    <t xml:space="preserve">DP HE 5TH 1200 P 29ML 840 IP65   </t>
  </si>
  <si>
    <t xml:space="preserve">DP HE 5TH 1500 P 40ML 840 IP65   </t>
  </si>
  <si>
    <t xml:space="preserve">DP HE 5TH 1500 P 73ML 840 IP65   </t>
  </si>
  <si>
    <t xml:space="preserve">DP HE DA 1200 P 29840 IP65       </t>
  </si>
  <si>
    <t xml:space="preserve">DP HE DA 1500 P 23840 IP65       </t>
  </si>
  <si>
    <t xml:space="preserve">DP HE DA 1500 P 40840 IP65       </t>
  </si>
  <si>
    <t xml:space="preserve">DP HE DA 1500 P 49840 IP65       </t>
  </si>
  <si>
    <t>DP 1200 18840 IP65 GY</t>
  </si>
  <si>
    <t>DP 1200 18865 IP65 GY</t>
  </si>
  <si>
    <t>DP 1200 32830 IP65 GY</t>
  </si>
  <si>
    <t>DP 1200 32840 IP65 GY</t>
  </si>
  <si>
    <t>DP 1200 32865 IP65 GY</t>
  </si>
  <si>
    <t>DP 1500 26840 IP65 GY</t>
  </si>
  <si>
    <t>DP 1500 26865 IP65 GY</t>
  </si>
  <si>
    <t>DP 1500 46830 IP65 GY</t>
  </si>
  <si>
    <t>DP 1500 46840 IP65 GY</t>
  </si>
  <si>
    <t>DP 1500 46865 IP65 GY</t>
  </si>
  <si>
    <t>DP 1500 58840 IP65 GY</t>
  </si>
  <si>
    <t>DP 1500 58865 IP65 GY</t>
  </si>
  <si>
    <t>DP 1500 81840 IP65 GY</t>
  </si>
  <si>
    <t>DP 1500 81865 IP65 GY</t>
  </si>
  <si>
    <t xml:space="preserve">DP S 1200 18840 IP65 GY          </t>
  </si>
  <si>
    <t>DP S 1200 32840 IP65 GY</t>
  </si>
  <si>
    <t xml:space="preserve">DP S 1500 26840 IP65 GY          </t>
  </si>
  <si>
    <t>DP S 1500 46840 IP65 GY</t>
  </si>
  <si>
    <t>DP S 1500 58840 IP65 GY</t>
  </si>
  <si>
    <t>DP DALI 1200 18840 IP65 GY</t>
  </si>
  <si>
    <t>DP DALI 1200 18865 IP65 GY</t>
  </si>
  <si>
    <t>DP DALI 1200 32830 IP65 GY</t>
  </si>
  <si>
    <t>DP DALI 1200 32840 IP65 GY</t>
  </si>
  <si>
    <t>DP DALI 1200 32865 IP65 GY</t>
  </si>
  <si>
    <t>DP DALI 1500 26840 IP65 GY</t>
  </si>
  <si>
    <t>DP DALI 1500 26865 IP65 GY</t>
  </si>
  <si>
    <t>DP DALI 1500 46830 IP65 GY</t>
  </si>
  <si>
    <t>DP DALI 1500 46840 IP65 GY</t>
  </si>
  <si>
    <t>DP DALI 1500 46865 IP65 GY</t>
  </si>
  <si>
    <t>DP DALI 1500 58840 IP65 GY</t>
  </si>
  <si>
    <t>DP DALI 1500 58865 IP65 GY</t>
  </si>
  <si>
    <t>DP EM 1200 18840 IP65 GY</t>
  </si>
  <si>
    <t>DP EM 1200 18865 IP65 GY</t>
  </si>
  <si>
    <t>DP EM 1200 32830 IP65 GY</t>
  </si>
  <si>
    <t>DP EM 1200 32840 IP65 GY</t>
  </si>
  <si>
    <t>DP EM 1200 32865 IP65 GY</t>
  </si>
  <si>
    <t>DP EM 1500 26840 IP65 GY</t>
  </si>
  <si>
    <t>DP EM 1500 26865 IP65 GY</t>
  </si>
  <si>
    <t>DP EM 1500 46830 IP65 GY</t>
  </si>
  <si>
    <t>DP EM 1500 46840 IP65 GY</t>
  </si>
  <si>
    <t>DP EM 1500 46865 IP65 GY</t>
  </si>
  <si>
    <t>DP EM 1500 58840 IP65 GY</t>
  </si>
  <si>
    <t>DP EM 1500 58865 IP65 GY</t>
  </si>
  <si>
    <t>DP EM 1500 81840 IP65 GY</t>
  </si>
  <si>
    <t>DP EM 1500 81865 IP65 GY</t>
  </si>
  <si>
    <t xml:space="preserve">DP EL 1200 18840 IP65 GY         </t>
  </si>
  <si>
    <t xml:space="preserve">DP EL 1200 18865 IP65 GY         </t>
  </si>
  <si>
    <t xml:space="preserve">DP EL 1200 32830 IP65 GY         </t>
  </si>
  <si>
    <t xml:space="preserve">DP EL 1200 32840 IP65 GY         </t>
  </si>
  <si>
    <t xml:space="preserve">DP EL 1200 32865 IP65 GY         </t>
  </si>
  <si>
    <t xml:space="preserve">DP EL 1500 26840 IP65 GY         </t>
  </si>
  <si>
    <t xml:space="preserve">DP EL 1500 26865 IP65 GY         </t>
  </si>
  <si>
    <t xml:space="preserve">DP EL 1500 46830 IP65 GY         </t>
  </si>
  <si>
    <t xml:space="preserve">DP EL 1500 46840 IP65 GY         </t>
  </si>
  <si>
    <t xml:space="preserve">DP EL 1500 46865 IP65 GY         </t>
  </si>
  <si>
    <t xml:space="preserve">DP EL 1500 58840 IP65 GY         </t>
  </si>
  <si>
    <t xml:space="preserve">DP EL 1500 58865 IP65 GY         </t>
  </si>
  <si>
    <t xml:space="preserve">DP EL 1500 81840 IP65 GY         </t>
  </si>
  <si>
    <t xml:space="preserve">DP EL 1500 81865 IP65 GY         </t>
  </si>
  <si>
    <t>DP 5TH 1200 32840 IP65 GY</t>
  </si>
  <si>
    <t>DP 5TH 1500 46840 IP65 GY</t>
  </si>
  <si>
    <t>DP 5TH 1500 58840 IP65 GY       </t>
  </si>
  <si>
    <t>DP 5TH 1500 81840 IP65 GY      </t>
  </si>
  <si>
    <t>DP VAL 600 9 4000 K IP65</t>
  </si>
  <si>
    <t>DP VAL 600 18 4000 K IP65</t>
  </si>
  <si>
    <t>DP VAL 1200 20 4000 K IP65</t>
  </si>
  <si>
    <t>DP VAL 1200 40 4000 K IP65</t>
  </si>
  <si>
    <t>DP VAL 1500 25 4000 K IP65</t>
  </si>
  <si>
    <t>DP VAL 1500 50 4000 K IP65</t>
  </si>
  <si>
    <t>DP VAL 1800 34 4000 K IP65</t>
  </si>
  <si>
    <t>DP VAL 1800 70 4000 K IP65</t>
  </si>
  <si>
    <t>DP 600 E 21840 VIP65 GY</t>
  </si>
  <si>
    <t>DP 600 E 21865 VIP65 GY</t>
  </si>
  <si>
    <t>DP 1200 E 42840 VIP65 GY</t>
  </si>
  <si>
    <t>DP 1200 E 42865 VIP65 GY</t>
  </si>
  <si>
    <t>DP 1500 E 52840 VIP65 GY</t>
  </si>
  <si>
    <t>DP 1500 E 52865 VIP65 GY</t>
  </si>
  <si>
    <t>DP 1500 E 52840 VN IP65 GY</t>
  </si>
  <si>
    <t>DP 1500 E 52865 VN IP65 GY</t>
  </si>
  <si>
    <t>DP 1500 E 52840 N IP65 GY</t>
  </si>
  <si>
    <t>DP 1500 E 52865 N IP65 GY</t>
  </si>
  <si>
    <t>DP 1500 E 66840 VIP65 GY</t>
  </si>
  <si>
    <t>DP 1500 E 66865 VIP65 GY</t>
  </si>
  <si>
    <t>DP 1500 E 66840 N IP65 GY</t>
  </si>
  <si>
    <t>DP 1500 E 66865 N IP65 GY</t>
  </si>
  <si>
    <t>DP 1500 E 66840 VN IP65 GY</t>
  </si>
  <si>
    <t>DP 1500 E 66865 VN IP65 GY</t>
  </si>
  <si>
    <t>DP 1500 E 80840 VIP65 GY</t>
  </si>
  <si>
    <t>DP 1500 E 80865 VIP65 GY</t>
  </si>
  <si>
    <t>DP 1500 E 80840 N IP65 GY</t>
  </si>
  <si>
    <t>DP 1500 E 80865 N IP65 GY</t>
  </si>
  <si>
    <t>DP 1500 E 80840 VN IP65 GY</t>
  </si>
  <si>
    <t>DP 1500 E 80865 VN IP65 GY</t>
  </si>
  <si>
    <t>HB SEN P 87840 110DEG IP65 (1-10V)</t>
  </si>
  <si>
    <t>HB SEN P 147840 110DEG IP65 (1-10V)</t>
  </si>
  <si>
    <t>HB SEN P 147840 70DEG IP65 (1-10V)</t>
  </si>
  <si>
    <t>HB SEN P 190840 110DEG IP65 (1-10V)</t>
  </si>
  <si>
    <t>HB P 75840 70DEG IP66 PS</t>
  </si>
  <si>
    <t>HB P 87840 70DEG IP65         </t>
  </si>
  <si>
    <t>HB P 75840 110DEG IP66 PS</t>
  </si>
  <si>
    <t>HB P 87840 110DEG IP65         </t>
  </si>
  <si>
    <t>HB P 75865 70DEG IP66 PS</t>
  </si>
  <si>
    <t>HB P 87865 70DEG IP65          </t>
  </si>
  <si>
    <t>HB P 75865 110DEG IP66 PS</t>
  </si>
  <si>
    <t>HB P 87865 110DEG IP65         </t>
  </si>
  <si>
    <t>HB P 150840 70DEG IP66 PS</t>
  </si>
  <si>
    <t>HB P 147840 70DEG IP65 | HB P 190840 70DEG IP65</t>
  </si>
  <si>
    <t>HB P 150840 110DEG IP66 PS</t>
  </si>
  <si>
    <t>HB P 147840 110DEG IP65  | HB P 190840 110DEG IP65        </t>
  </si>
  <si>
    <t>HB P 150865 70DEG IP66 PS</t>
  </si>
  <si>
    <t>HB P 147865 70DEG IP65 | HB P 190865 70DEG IP65</t>
  </si>
  <si>
    <t>HB P 150865 110 DEG IP66 PS</t>
  </si>
  <si>
    <t>HB P 147865 110DEG IP65  | HB P 190865 110DEG IP65     </t>
  </si>
  <si>
    <t>HB P 200840 70DEG IP66 PS</t>
  </si>
  <si>
    <t>HB P 210840 70DEG IP65</t>
  </si>
  <si>
    <t>HB P 200840 110DEG IP66 PS</t>
  </si>
  <si>
    <t>HB P 200865 70DEG IP66 PS</t>
  </si>
  <si>
    <t>HB P 210865 70DEG IP65</t>
  </si>
  <si>
    <t>HB P 200865 110DEG IP66 PS</t>
  </si>
  <si>
    <t>HB DA P 75840 70DEG IP66</t>
  </si>
  <si>
    <t>HB DA P 75840 110DEG IP66</t>
  </si>
  <si>
    <t>HB DA P 75865 70DEG IP66</t>
  </si>
  <si>
    <t>HB DA P 75865 110DEG IP66</t>
  </si>
  <si>
    <t>HB DA P 150840 70DEG IP66</t>
  </si>
  <si>
    <t>HB DA P 150840 110DEG IP66</t>
  </si>
  <si>
    <t>HB DA P 150865 70DEG IP66</t>
  </si>
  <si>
    <t>HB DA P 150865 110DEG IP66</t>
  </si>
  <si>
    <t>HB DA P 200840 70DEG IP66</t>
  </si>
  <si>
    <t>HB DA P 200840 110DEG IP66</t>
  </si>
  <si>
    <t>HB DA P 200865 70DEG IP66</t>
  </si>
  <si>
    <t>HB DA P 200865 110DEG IP66</t>
  </si>
  <si>
    <t>HB COMP V 83840 110DEG IP65</t>
  </si>
  <si>
    <t>HB COMP V 83865 110DEG IP65</t>
  </si>
  <si>
    <t>HB COMP V 133840 110DEG IP65</t>
  </si>
  <si>
    <t>HB COMP V 133865 110DEG IP65</t>
  </si>
  <si>
    <t>HB COMP V 166840 110DEG IP65</t>
  </si>
  <si>
    <t>HB COMP V 166865 110DEG IP65</t>
  </si>
  <si>
    <t>HB COMP V 225840 110DEG IP65</t>
  </si>
  <si>
    <t>HB COMP V 225865 110DEG IP65</t>
  </si>
  <si>
    <t>HB COMP V REFL 8380DEG SI (preço para 2unidades - fornecimento mínimo)</t>
  </si>
  <si>
    <t>HB COMP V REFL 13380DEG SI  (preço para 2unidades - fornecimento mínimo)</t>
  </si>
  <si>
    <t>HB COMP V REFL 16680DEG SI  (preço para 2unidades - fornecimento mínimo)</t>
  </si>
  <si>
    <t>HB COMP V REFL 22580DEG SI  (preço para 2unidades - fornecimento mínimo)</t>
  </si>
  <si>
    <t>LOBAY FLEX</t>
  </si>
  <si>
    <t xml:space="preserve">LB FLEX 1200 P 42840 N           </t>
  </si>
  <si>
    <t xml:space="preserve">LB FLEX 1200 P 42840 </t>
  </si>
  <si>
    <t>LB FLEX 1200 P 42840 VW</t>
  </si>
  <si>
    <t xml:space="preserve">LB FLEX 1200 P 42840 OV          </t>
  </si>
  <si>
    <t xml:space="preserve">LB FLEX 1200 P 73840 N           </t>
  </si>
  <si>
    <t xml:space="preserve">LB FLEX 1200 P 73840 </t>
  </si>
  <si>
    <t>LB FLEX 1200 P 73840 VW</t>
  </si>
  <si>
    <t xml:space="preserve">LB FLEX 1200 P 73840 OV          </t>
  </si>
  <si>
    <t xml:space="preserve">LB FLEX 1500 P 73840 N           </t>
  </si>
  <si>
    <t xml:space="preserve">LB FLEX 1500 P 73840           </t>
  </si>
  <si>
    <t xml:space="preserve">LB FLEX 1500 P 73840 V         </t>
  </si>
  <si>
    <t xml:space="preserve">LB FLEX 1500 P 73840 OV          </t>
  </si>
  <si>
    <t>LB FLEX 1500 P 105840 N</t>
  </si>
  <si>
    <t>LB FLEX 1500 P 105840 W</t>
  </si>
  <si>
    <t xml:space="preserve">LB FLEX 1500 P 105840 V        </t>
  </si>
  <si>
    <t xml:space="preserve">LB FLEX 1500 P 105840 OV         </t>
  </si>
  <si>
    <t xml:space="preserve">LB FLEX 1500 P 140840 N          </t>
  </si>
  <si>
    <t xml:space="preserve">LB FLEX 1500 P 140840          </t>
  </si>
  <si>
    <t xml:space="preserve">LB FLEX 1500 P 140840 V        </t>
  </si>
  <si>
    <t xml:space="preserve">LB FLEX 1500 P 140840 OV         </t>
  </si>
  <si>
    <t>LOBAY FLEX DALI</t>
  </si>
  <si>
    <t xml:space="preserve">LB FLEX 1200 DALI P 42840 N      </t>
  </si>
  <si>
    <t xml:space="preserve">LB FLEX 1200 DALI P 42840      </t>
  </si>
  <si>
    <t xml:space="preserve">LB FLEX 1200 DALI P 42840 V    </t>
  </si>
  <si>
    <t xml:space="preserve">LB FLEX 1200 DALI P 42840 OV     </t>
  </si>
  <si>
    <t xml:space="preserve">LB FLEX 1200 DALI P 73840 N      </t>
  </si>
  <si>
    <t xml:space="preserve">LB FLEX 1200 DALI P 73840      </t>
  </si>
  <si>
    <t xml:space="preserve">LB FLEX 1200 DALI P 73840 V    </t>
  </si>
  <si>
    <t xml:space="preserve">LB FLEX 1200 DALI P 73840 OV     </t>
  </si>
  <si>
    <t xml:space="preserve">LB FLEX 1500 DALI P 73840 N      </t>
  </si>
  <si>
    <t xml:space="preserve">LB FLEX 1500 DALI P 73840      </t>
  </si>
  <si>
    <t xml:space="preserve">LB FLEX 1500 DALI P 73840 V    </t>
  </si>
  <si>
    <t xml:space="preserve">LB FLEX 1500 DALI P 73840 OV     </t>
  </si>
  <si>
    <t xml:space="preserve">LB FLEX 1500 DALI P 105840 N     </t>
  </si>
  <si>
    <t xml:space="preserve">LB FLEX 1500 DALI P 105840     </t>
  </si>
  <si>
    <t xml:space="preserve">LB FLEX 1500 DALI P 105840 V   </t>
  </si>
  <si>
    <t xml:space="preserve">LB FLEX 1500 DALI P 105840 OV    </t>
  </si>
  <si>
    <t xml:space="preserve">LB FLEX 1500 DALI P 140840 N     </t>
  </si>
  <si>
    <t xml:space="preserve">LB FLEX 1500 DALI P 140840     </t>
  </si>
  <si>
    <t xml:space="preserve">LB FLEX 1500 DALI P 140840 V   </t>
  </si>
  <si>
    <t xml:space="preserve">LB FLEX 1500 DALI P 140840 OV    </t>
  </si>
  <si>
    <t>LOBAY FLEX - ACESSÓRIOS</t>
  </si>
  <si>
    <t xml:space="preserve">CANOPY COMP V 60840 IP66 DIM  </t>
  </si>
  <si>
    <t xml:space="preserve">CANOPY COMP V 60857 IP66 DIM  </t>
  </si>
  <si>
    <t xml:space="preserve">CANOPY COMP V 95840 IP66 DIM  </t>
  </si>
  <si>
    <t xml:space="preserve">CANOPY COMP V 95857 IP66 DIM  </t>
  </si>
  <si>
    <t xml:space="preserve">CANOPY COMP V 145840 IP66 DIM </t>
  </si>
  <si>
    <t xml:space="preserve">CANOPY COMP V 145857 IP66 DIM </t>
  </si>
  <si>
    <t>FL FLEX P 40ML 830 A45X140 WAL  </t>
  </si>
  <si>
    <t>FL FLEX P 40ML 830 A55X120 WAL  </t>
  </si>
  <si>
    <t>FL FLEX P 40ML 840 A45X140 WAL  </t>
  </si>
  <si>
    <t>FL FLEX P 40ML 840 A55X120 WAL  </t>
  </si>
  <si>
    <t>FL FLEX P 80ML 822 A45X140 WAL  </t>
  </si>
  <si>
    <t>FL FLEX P 80ML 822 A55X120 WAL  </t>
  </si>
  <si>
    <t>FL FLEX P 80ML 830 A45X140 WAL  </t>
  </si>
  <si>
    <t>FL FLEX P 80ML 830 A55X120 WAL  </t>
  </si>
  <si>
    <t>FL FLEX P 80ML 840 A45X140 WAL  </t>
  </si>
  <si>
    <t>FL FLEX P 80ML 840 A55X120 WAL  </t>
  </si>
  <si>
    <t>FL FLEX P 130ML 822 R30 WAL     </t>
  </si>
  <si>
    <t>FL FLEX P 130ML 830 A45X140 WAL </t>
  </si>
  <si>
    <t>FL FLEX P 130ML 830 A55X120 WAL </t>
  </si>
  <si>
    <t>FL FLEX P 130ML 830 R60 WAL     </t>
  </si>
  <si>
    <t>FL FLEX P 130ML 830 R30 WAL     </t>
  </si>
  <si>
    <t>FL FLEX P 130ML 840 A45X140 WAL </t>
  </si>
  <si>
    <t>FL FLEX P 130ML 840 A55X120 WAL </t>
  </si>
  <si>
    <t>FL FLEX P 130ML 840 R60 WAL     </t>
  </si>
  <si>
    <t>FL FLEX P 130ML 840 R30 WAL     </t>
  </si>
  <si>
    <t>FL FLEX P 180ML 830 A45X140 WAL </t>
  </si>
  <si>
    <t>FL FLEX P 180ML 830 A55X120 WAL </t>
  </si>
  <si>
    <t>FL FLEX P 180ML 830 R60 WAL     </t>
  </si>
  <si>
    <t>FL FLEX P 180ML 830 R30 WAL     </t>
  </si>
  <si>
    <t>FL FLEX P 180ML 840 A45X140 WAL </t>
  </si>
  <si>
    <t>FL FLEX P 180ML 840 A55X120 WAL </t>
  </si>
  <si>
    <t>FL FLEX P 180ML 840 R60 WAL     </t>
  </si>
  <si>
    <t>FL FLEX P 180ML 840 R30 WAL     </t>
  </si>
  <si>
    <t>FL FLEX P 250ML 830 A45X140 WAL </t>
  </si>
  <si>
    <t>FL FLEX P 250ML 830 A55X120 WAL </t>
  </si>
  <si>
    <t>FL FLEX P 250ML 830 R60 WAL     </t>
  </si>
  <si>
    <t>FL FLEX P 250ML 830 R30 WAL     </t>
  </si>
  <si>
    <t>FL FLEX P 250ML 840 A45X140 WAL </t>
  </si>
  <si>
    <t>FL FLEX P 250ML 840 A55X120 WAL </t>
  </si>
  <si>
    <t>FL FLEX P 250ML 840 R60 WAL     </t>
  </si>
  <si>
    <t>FL FLEX P 250ML 840 R30 WAL     </t>
  </si>
  <si>
    <t>FL FLEX P 360ML 830 A45X140 WAL </t>
  </si>
  <si>
    <t>FL FLEX P 360ML 830 A55X120 WAL </t>
  </si>
  <si>
    <t>FL FLEX P 360ML 830 A60X110 WAL </t>
  </si>
  <si>
    <t>FL FLEX P 360ML 830 R20 WAL     </t>
  </si>
  <si>
    <t>FL FLEX P 360ML 840 A45X140 WAL </t>
  </si>
  <si>
    <t>FL FLEX P 360ML 840 A55X120 WAL </t>
  </si>
  <si>
    <t>FL FLEX P 360ML 840 A60X110 WAL </t>
  </si>
  <si>
    <t>FL FLEX P 360ML 840 R20 WAL     </t>
  </si>
  <si>
    <t>FL FLEX P 450ML 830 A45X140 WAL </t>
  </si>
  <si>
    <t>FL FLEX P 450ML 830 A60X110 WAL </t>
  </si>
  <si>
    <t>FL FLEX P 450ML 830 A55X120 WAL </t>
  </si>
  <si>
    <t>FL FLEX P 450ML 830 R20 WAL     </t>
  </si>
  <si>
    <t>FL FLEX P 450ML 840 A45X140 WAL </t>
  </si>
  <si>
    <t>FL FLEX P 450ML 840 A60X110 WAL </t>
  </si>
  <si>
    <t>FL FLEX P 450ML 840 A55X120 WAL </t>
  </si>
  <si>
    <t>FL FLEX P 450ML 840 R20 WAL     </t>
  </si>
  <si>
    <t>FL FLEX DA P 40ML 830 A45X140 WAL</t>
  </si>
  <si>
    <t xml:space="preserve">FL PFM DA 503000K ASYM 45X140 BK </t>
  </si>
  <si>
    <t>FL FLEX DA P 40ML 830 A55X120 WAL</t>
  </si>
  <si>
    <t xml:space="preserve">FL PFM DA 503000K ASYM 55X110 BK </t>
  </si>
  <si>
    <t>FL FLEX DA P 40ML 840 A45X140 WAL</t>
  </si>
  <si>
    <t xml:space="preserve">FL PFM DA 504000K ASYM 45X140 BK </t>
  </si>
  <si>
    <t>FL FLEX DA P 40ML 840 A55X120 WAL</t>
  </si>
  <si>
    <t xml:space="preserve">FL PFM DA 504000K ASYM 55X110 BK </t>
  </si>
  <si>
    <t>FL FLEX DA P 80ML 822 A45X140 WAL</t>
  </si>
  <si>
    <t>FL FLEX DA P 80ML 822 A55X120 WAL</t>
  </si>
  <si>
    <t>FL FLEX DA P 80ML 830 A45X140 WAL</t>
  </si>
  <si>
    <t>FL PFM DA 1003000K ASYM 45X140 BK</t>
  </si>
  <si>
    <t>FL FLEX DA P 80ML 830 A55X120 WAL</t>
  </si>
  <si>
    <t>FL PFM DA 1003000K ASYM 55X110 BK</t>
  </si>
  <si>
    <t>FL FLEX DA P 80ML 840 A45X140 WAL</t>
  </si>
  <si>
    <t>FL PFM DA 1004000K ASYM 45X140 BK</t>
  </si>
  <si>
    <t>FL FLEX DA P 80ML 840 A55X120 WAL</t>
  </si>
  <si>
    <t>FL PFM DA 1004000K ASYM 55X110 BK</t>
  </si>
  <si>
    <t>FL FLEX DA P 130ML 822 R30 WAL  </t>
  </si>
  <si>
    <t>FL FLEX DA P 130ML 830 A45X140WAL</t>
  </si>
  <si>
    <t>FL PFM DA 1503000K ASYM 45X140 BK</t>
  </si>
  <si>
    <t>FL FLEX DA P 130ML 830 A55X120WAL</t>
  </si>
  <si>
    <t>FL PFM DA 1503000K ASYM 55X110 BK</t>
  </si>
  <si>
    <t>FL FLEX DA P 130ML 830 R60 WAL  </t>
  </si>
  <si>
    <t xml:space="preserve">FL PFM DA 1503000K SYM 60 BK     </t>
  </si>
  <si>
    <t>FL FLEX DA P 130ML 830 R30 WAL  </t>
  </si>
  <si>
    <t xml:space="preserve">FL PFM DA 1503000K SYM R30 BK    </t>
  </si>
  <si>
    <t>FL FLEX DA P 130ML 840 A45X140WAL</t>
  </si>
  <si>
    <t>FL PFM DA 1504000K ASYM 45X140 BK</t>
  </si>
  <si>
    <t>FL FLEX DA P 130ML 840 A55X120WAL</t>
  </si>
  <si>
    <t>FL PFM DA 1504000K ASYM 55X110 BK</t>
  </si>
  <si>
    <t>FL FLEX DA P 130ML 840 R60 WAL  </t>
  </si>
  <si>
    <t xml:space="preserve">FL PFM DA 1504000K SYM 60 BK     </t>
  </si>
  <si>
    <t>FL FLEX DA P 130ML 840 R30 WAL  </t>
  </si>
  <si>
    <t xml:space="preserve">FL PFM DA 1504000K SYM R30 BK    </t>
  </si>
  <si>
    <t>FL FLEX DA P 180ML 830 A45X140WAL</t>
  </si>
  <si>
    <t>FL PFM DA 2003000K ASYM 45X140 BK</t>
  </si>
  <si>
    <t>FL FLEX DA P 180ML 830 A55X120WAL</t>
  </si>
  <si>
    <t>FL PFM DA 2003000K ASYM 55X110 BK</t>
  </si>
  <si>
    <t>FL FLEX DA P 180ML 830 R60 WAL  </t>
  </si>
  <si>
    <t xml:space="preserve">FL PFM DA 2003000K SYM 60 BK     </t>
  </si>
  <si>
    <t>FL FLEX DA P 180ML 830 R30 WAL  </t>
  </si>
  <si>
    <t xml:space="preserve">FL PFM DA 2003000K SYM R30 BK    </t>
  </si>
  <si>
    <t>FL FLEX DA P 180ML 840 A45X140WAL</t>
  </si>
  <si>
    <t>FL PFM DA 2004000K ASYM 45X140 BK</t>
  </si>
  <si>
    <t>FL FLEX DA P 180ML 840 A55X120WAL</t>
  </si>
  <si>
    <t>FL PFM DA 2004000K ASYM 55X110 BK</t>
  </si>
  <si>
    <t>FL FLEX DA P 180ML 840 R60 WAL  </t>
  </si>
  <si>
    <t xml:space="preserve">FL PFM DA 2004000K SYM 60 BK     </t>
  </si>
  <si>
    <t>FL FLEX DA P 180ML 840 R30 WAL  </t>
  </si>
  <si>
    <t xml:space="preserve">FL PFM DA 2004000K SYM R30 BK    </t>
  </si>
  <si>
    <t>FL FLEX DA P 250ML 830 A45X140WAL</t>
  </si>
  <si>
    <t>FL PFM DA 2903000K ASYM 45X140 BK</t>
  </si>
  <si>
    <t>FL FLEX DA P 250ML 830 A55X120WAL</t>
  </si>
  <si>
    <t>FL PFM DA 2903000K ASYM 55X110 BK</t>
  </si>
  <si>
    <t>FL FLEX DA P 250ML 830 R60 WAL  </t>
  </si>
  <si>
    <t>FL PFM DA 2903000K SYM 60 BK     </t>
  </si>
  <si>
    <t>FL FLEX DA P 250ML 830 R30 WAL  </t>
  </si>
  <si>
    <t xml:space="preserve">FL PFM DA 2903000K SYM R30 BK    </t>
  </si>
  <si>
    <t>FL FLEX DA P 250ML 840 A45X140WAL</t>
  </si>
  <si>
    <t>FL PFM DA 2904000K ASYM 45X140 BK</t>
  </si>
  <si>
    <t>FL FLEX DA P 250ML 840 A55X120WAL</t>
  </si>
  <si>
    <t>FL PFM DA 2904000K ASYM 55X110 BK</t>
  </si>
  <si>
    <t>FL FLEX DA P 250ML 840 R60 WAL  </t>
  </si>
  <si>
    <t xml:space="preserve">FL PFM DA 2904000K SYM 60 BK     </t>
  </si>
  <si>
    <t>FL FLEX DA P 250ML 840 R30 WAL  </t>
  </si>
  <si>
    <t xml:space="preserve">FL PFM DA 2904000K SYM R30 BK    </t>
  </si>
  <si>
    <t>FL FLEX DA P 360ML 830 A45X140WAL</t>
  </si>
  <si>
    <t>FL FLEX DA P 360ML 830 A55X120WAL</t>
  </si>
  <si>
    <t>FL FLEX DA P 360ML 830 A60X110WAL</t>
  </si>
  <si>
    <t>FL FLEX DA P 360ML 830 R20 WAL  </t>
  </si>
  <si>
    <t>FL FLEX DA P 360ML 840 A45X140WAL</t>
  </si>
  <si>
    <t>FL FLEX DA P 360ML 840 A55X120WAL</t>
  </si>
  <si>
    <t>FL FLEX DA P 360ML 840 A60X110WAL</t>
  </si>
  <si>
    <t>FL FLEX DA P 360ML 840 R20 WAL  </t>
  </si>
  <si>
    <t>FL FLEX DA P 450ML 830 A45X140WAL</t>
  </si>
  <si>
    <t>FL FLEX DA P 450ML 830 A60X110WAL</t>
  </si>
  <si>
    <t>FL FLEX DA P 450ML 830 A55X120WAL</t>
  </si>
  <si>
    <t>FL FLEX DA P 450ML 830 R20 WAL  </t>
  </si>
  <si>
    <t>FL FLEX DA P 450ML 840 A45X140WAL</t>
  </si>
  <si>
    <t>FL FLEX DA P 450ML 840 A60X110WAL</t>
  </si>
  <si>
    <t>FL FLEX DA P 450ML 840 A55X120WAL</t>
  </si>
  <si>
    <t>FL FLEX DA P 450ML 840 R20 WAL  </t>
  </si>
  <si>
    <t>FL 10 P 81K2LM 830 PS SY100 BK</t>
  </si>
  <si>
    <t>FL 10 P 81K2LM 830 PS SY100 WT</t>
  </si>
  <si>
    <t>FL 10 P 81K2LM 840 PS SY100 BK</t>
  </si>
  <si>
    <t>FL 10 P 81K2LM 840 PS SY100 WT</t>
  </si>
  <si>
    <t>FL 10 P 81K2LM 865 PS SY100 BK</t>
  </si>
  <si>
    <t>FL 10 P 81K2LM 865 PS SY100 WT</t>
  </si>
  <si>
    <t>FL 20 P 172K4LM 830 PS SY100 BK</t>
  </si>
  <si>
    <t>FL 20 P 172K4LM 830 PS SY100 WT</t>
  </si>
  <si>
    <t>FL 20 P 172K4LM 840 PS SY100 BK</t>
  </si>
  <si>
    <t>FL 20 P 172K4LM 840 PS SY100 WT</t>
  </si>
  <si>
    <t>FL 20 P 172K4LM 865 PS SY100 BK</t>
  </si>
  <si>
    <t>FL 20 P 172K4LM 865 PS SY100 WT</t>
  </si>
  <si>
    <t>FL 50 P 416KLM 830 PS SY100 BK</t>
  </si>
  <si>
    <t xml:space="preserve">FL PFM 30 3000 K SYM 100 BK|FL PFM 50W/3000K SYM 100 BK        </t>
  </si>
  <si>
    <t>FL 50 P 416KLM 830 PS SY100 WT</t>
  </si>
  <si>
    <t xml:space="preserve">FL PFM 30 3000 K SYM 100 WT|FL PFM 50W/3000K SYM 100 WT        </t>
  </si>
  <si>
    <t>FL 50 P 416KLM 840 PS SY100 BK</t>
  </si>
  <si>
    <t xml:space="preserve">FL PFM 30 4000 K SYM 100 BK|FL PFM 50W/4000K SYM 100 BK        </t>
  </si>
  <si>
    <t>FL 50 P 416KLM 840 PS SY100 WT</t>
  </si>
  <si>
    <t xml:space="preserve">FL PFM 30 4000 K SYM 100 WT|FL PFM 50W/4000K SYM 100 WT        </t>
  </si>
  <si>
    <t>FL 50 P 416KLM 865 PS SY100 BK</t>
  </si>
  <si>
    <t xml:space="preserve">FL PFM 30 6500 K SYM 100 BK|FL PFM 50W/6500K SYM 100 BK        </t>
  </si>
  <si>
    <t>FL 50 P 416KLM 865 PS SY100 WT</t>
  </si>
  <si>
    <t xml:space="preserve">FL PFM 30 6500 K SYM 100 WT|FL PFM 50W/6500K SYM 100 WT        </t>
  </si>
  <si>
    <t>FL 100 P 6910KLM 830 PS SY100 BK</t>
  </si>
  <si>
    <t xml:space="preserve">FL PFM 65 3000 K SYM 100 BK|FL PFM 80W/3000K SYM 100 BK        </t>
  </si>
  <si>
    <t>FL 100 P 6910KLM 830 PS SY100 WT</t>
  </si>
  <si>
    <t>FL 100 P 6910KLM 840 PS SY100 BK</t>
  </si>
  <si>
    <t xml:space="preserve">FL PFM 65 4000 K SYM 100 BK|FL PFM 80W/4000K SYM 100 BK        </t>
  </si>
  <si>
    <t>FL 100 P 6910KLM 840 PS SY100 WT</t>
  </si>
  <si>
    <t>FL 100 P 6910KLM 865 PS SY100 BK</t>
  </si>
  <si>
    <t xml:space="preserve">FL PFM 65 6500 K SYM 100 BK|FL PFM 80W/6500K SYM 100 BK        </t>
  </si>
  <si>
    <t>FL 100 P 6910KLM 865 PS SY100 WT</t>
  </si>
  <si>
    <t>FL 150 P 10015KLM 830 PS SY100 BK</t>
  </si>
  <si>
    <t>FL 150 P 10015KLM 830 PS SY100 WT</t>
  </si>
  <si>
    <t>FL 150 P 10015KLM 840 PS SY100 BK</t>
  </si>
  <si>
    <t>FL 150 P 10015KLM 840 PS SY100 WT</t>
  </si>
  <si>
    <t>FL 150 P 10015KLM 865 PS SY100 BK</t>
  </si>
  <si>
    <t>FL 150 P 10015KLM 865 PS SY100 WT</t>
  </si>
  <si>
    <t>FL 200 P 13320KLM 830 PS SY100 BK</t>
  </si>
  <si>
    <t>FL 200 P 13320KLM 830 PS SY100 WT</t>
  </si>
  <si>
    <t>FL 200 P 13320KLM 840 PS SY100 BK</t>
  </si>
  <si>
    <t>FL 200 P 13320KLM 840 PS SY100 WT</t>
  </si>
  <si>
    <t>FL 200 P 13320KLM 865 PS SY100 BK</t>
  </si>
  <si>
    <t>FL 200 P 13320KLM 865 PS SY100 WT</t>
  </si>
  <si>
    <t>FL 250 P 16725KLM 830 PS SY100 BK</t>
  </si>
  <si>
    <t>FL 250 P 16725KLM 830 PS SY100 WT</t>
  </si>
  <si>
    <t>FL 250 P 16725KLM 840 PS SY100 BK</t>
  </si>
  <si>
    <t>FL 250 P 16725KLM 840 PS SY100 WT</t>
  </si>
  <si>
    <t>FL 250 P 16725KLM 865 PS SY100 BK</t>
  </si>
  <si>
    <t>FL 250 P 16725KLM 865 PS SY100 WT</t>
  </si>
  <si>
    <t>FL 10 SN P 81K2LM 830 PS SY100 WT</t>
  </si>
  <si>
    <t>FL 10 SN P 81K2LM 830 PS SY100 BK</t>
  </si>
  <si>
    <t>FL 10 SN P 81K2LM 840 PS SY100 WT</t>
  </si>
  <si>
    <t>FL 10 SN P 81K2LM 840 PS SY100 BK</t>
  </si>
  <si>
    <t>FL 20 SN P 172K4LM 830 PSSY100 WT</t>
  </si>
  <si>
    <t>FL 20 SN P 172K4LM 830 PSSY100 BK</t>
  </si>
  <si>
    <t>FL 20 SN P 172K4LM 840 PSSY100 WT</t>
  </si>
  <si>
    <t>FL 20 SN P 172K4LM 840 PSSY100 BK</t>
  </si>
  <si>
    <t>FL 50 SN P 416KLM 830 PS SY100 WT</t>
  </si>
  <si>
    <t>FL 50 SN P 416KLM 830 PS SY100 BK</t>
  </si>
  <si>
    <t>FL 50 SN P 416KLM 840 PS SY100 WT</t>
  </si>
  <si>
    <t>FL 50 SN P 416KLM 840 PS SY100 BK</t>
  </si>
  <si>
    <t>FL 100 PCELL P 69840 10KLM PS BK</t>
  </si>
  <si>
    <t>FL 150 PCELL P 100840 15KLM PS BK</t>
  </si>
  <si>
    <t>FL 200 PCELL P 133840 20KLM PS BK</t>
  </si>
  <si>
    <t>FL COMP V 10830 SYM 100 BK</t>
  </si>
  <si>
    <t>FL COMP V 10830 SYM 100 WT</t>
  </si>
  <si>
    <t>FL COMP V 10840 SYM 100 BK</t>
  </si>
  <si>
    <t>FL COMP V 10840 SYM 100 WT</t>
  </si>
  <si>
    <t>FL COMP V 10865 SYM 100 BK</t>
  </si>
  <si>
    <t>FL COMP V 10865 SYM 100 WT</t>
  </si>
  <si>
    <t>FL COMP V 20830 SYM 100 BK</t>
  </si>
  <si>
    <t>FL COMP V 20830 SYM 100 WT</t>
  </si>
  <si>
    <t>FL COMP V 20840 SYM 100 BK</t>
  </si>
  <si>
    <t>FL COMP V 20840 SYM 100 WT</t>
  </si>
  <si>
    <t>FL COMP V 20865 SYM 100 BK</t>
  </si>
  <si>
    <t>FL COMP V 20865 SYM 100 WT</t>
  </si>
  <si>
    <t>FL COMP V 50830 SYM 100 BK</t>
  </si>
  <si>
    <t>FL COMP V 50830 SYM 100 WT</t>
  </si>
  <si>
    <t>FL COMP V 50840 SYM 100 BK</t>
  </si>
  <si>
    <t>FL COMP V 50840 SYM 100 WT</t>
  </si>
  <si>
    <t>FL COMP V 50865 SYM 100 BK</t>
  </si>
  <si>
    <t>FL COMP V 50865 SYM 100 WT</t>
  </si>
  <si>
    <t>FL COMP V 90830 SYM 100 BK</t>
  </si>
  <si>
    <t>FL COMP V 90840 SYM 100 BK</t>
  </si>
  <si>
    <t>FL COMP V 90865 SYM 100 BK</t>
  </si>
  <si>
    <t>FL COMP V 135830 SYM 100 BK</t>
  </si>
  <si>
    <t>FL COMP V 135840 SYM 100 BK</t>
  </si>
  <si>
    <t>FL COMP V 135865 SYM 100 BK</t>
  </si>
  <si>
    <t>FL COMP V 180 830 SYM 100 BK</t>
  </si>
  <si>
    <t>FL COMP V 180840 SYM 100 BK</t>
  </si>
  <si>
    <t>FL COMP V 180865 SYM 100 BK</t>
  </si>
  <si>
    <t>FL COMP SEN V 10830 SYM 100 BK</t>
  </si>
  <si>
    <t>FL COMP SEN V 10840 SYM 100 BK</t>
  </si>
  <si>
    <t>FL COMP SEN V 20830 SYM 100 BK</t>
  </si>
  <si>
    <t>FL COMP SEN V 20840 SYM 100 BK</t>
  </si>
  <si>
    <t>FL COMP SEN V 50830 SYM 100 BK</t>
  </si>
  <si>
    <t>FL COMP SEN V 50840 SYM 100 BK</t>
  </si>
  <si>
    <t>FL AREA V 100ML 830 A48x85 BK</t>
  </si>
  <si>
    <t>FL AREA V 100ML 840 A48x85 BK</t>
  </si>
  <si>
    <t>FL AREA V 133ML 830 A48x85 BK</t>
  </si>
  <si>
    <t>FL AREA V 133ML 840 A48x85 BK</t>
  </si>
  <si>
    <t>FL AREA V 16ML 830 A48x85 BK</t>
  </si>
  <si>
    <t>FL AREA V 16ML 840 A48x85 BK</t>
  </si>
  <si>
    <t>FL AREA V 32ML 830 A48x85 BK</t>
  </si>
  <si>
    <t>FL AREA V 32ML 840 A48x85 BK</t>
  </si>
  <si>
    <t>FL AREA V 50ML 830 A48x85 BK</t>
  </si>
  <si>
    <t>FL AREA V 50ML 840 A48x85 BK</t>
  </si>
  <si>
    <t>FL AREA V 67ML 830 A48x85 BK</t>
  </si>
  <si>
    <t>FL AREA V 67ML 840 A48x85 BK</t>
  </si>
  <si>
    <t xml:space="preserve">FL MAX LUM 600757 SYM 10         </t>
  </si>
  <si>
    <t xml:space="preserve">FL MAX LUM 600757 SYM 30         </t>
  </si>
  <si>
    <t xml:space="preserve">FL MAX LUM 600757 SYM 60         </t>
  </si>
  <si>
    <t xml:space="preserve">FL MAX LUM 600757 ASYM 50X110    </t>
  </si>
  <si>
    <t xml:space="preserve">FL MAX LUM 900757 SYM 10         </t>
  </si>
  <si>
    <t xml:space="preserve">FL MAX LUM 900757 SYM 30         </t>
  </si>
  <si>
    <t xml:space="preserve">FL MAX LUM 900757 SYM 60         </t>
  </si>
  <si>
    <t xml:space="preserve">FL MAX LUM 900757 ASYM 50X110    </t>
  </si>
  <si>
    <t xml:space="preserve">FL MAX LUM 1200757 SYM 10        </t>
  </si>
  <si>
    <t xml:space="preserve">FL MAX LUM 1200757 SYM 30        </t>
  </si>
  <si>
    <t xml:space="preserve">FL MAX LUM 1200757 SYM 60        </t>
  </si>
  <si>
    <t xml:space="preserve">FL MAX LUM 1200757 ASYM 50X110   </t>
  </si>
  <si>
    <t xml:space="preserve">FL MAX POWER SUPPLY 600          </t>
  </si>
  <si>
    <t xml:space="preserve">FL MAX POWER SUPPLY 900          </t>
  </si>
  <si>
    <t xml:space="preserve">FL MAX POWER SUPPLY 1200         </t>
  </si>
  <si>
    <t>ECO HP FLOOD 300840 VN BK</t>
  </si>
  <si>
    <t>ECO HP FLOOD 300840 N BK</t>
  </si>
  <si>
    <t>ECO HP FLOOD 300840 BK</t>
  </si>
  <si>
    <t>ECO HP FLOOD 300857 VN BK</t>
  </si>
  <si>
    <t>ECO HP FLOOD 300857 N BK</t>
  </si>
  <si>
    <t>ECO HP FLOOD 300857 BK</t>
  </si>
  <si>
    <t>ECO HP FLOOD 500840 VN BK</t>
  </si>
  <si>
    <t>ECO HP FLOOD 500840 N BK</t>
  </si>
  <si>
    <t>ECO HP FLOOD 500840 BK</t>
  </si>
  <si>
    <t>ECO HP FLOOD 500857 VN BK</t>
  </si>
  <si>
    <t>ECO HP FLOOD 500857 N BK</t>
  </si>
  <si>
    <t>ECO HP FLOOD 500857 BK</t>
  </si>
  <si>
    <t>FL HIGH MAST LUM V 300730 SYM R12</t>
  </si>
  <si>
    <t>FL HIGH MAST LUM V 300740 SYM R12</t>
  </si>
  <si>
    <t>FL HIGH MAST LUM V 300757 SYM R12</t>
  </si>
  <si>
    <t>FL HIGH MAST LUM V 300730 SYM R30</t>
  </si>
  <si>
    <t>FL HIGH MAST LUM V 300740 SYM R30</t>
  </si>
  <si>
    <t>FL HIGH MAST LUM V 300757 SYM R30</t>
  </si>
  <si>
    <t>FL HIGH MAST LUM V 300730 SYM R60</t>
  </si>
  <si>
    <t>FL HIGH MAST LUM V 300740 SYM R60</t>
  </si>
  <si>
    <t>FL HIGH MAST LUM V 300757 SYM R60</t>
  </si>
  <si>
    <t>FL HIGH MAST LUM V 300730 SYM R90</t>
  </si>
  <si>
    <t>FL HIGH MAST LUM V 300740 SYM R90</t>
  </si>
  <si>
    <t>FL HIGH MAST LUM V 300757 SYM R90</t>
  </si>
  <si>
    <t>FL HIGH MAST LUM V 500730 SYM R12</t>
  </si>
  <si>
    <t>FL HIGH MAST LUM V 500740 SYM R12</t>
  </si>
  <si>
    <t>FL HIGH MAST LUM V 500757 SYM R12</t>
  </si>
  <si>
    <t>FL HIGH MAST LUM V 500730 SYM R30</t>
  </si>
  <si>
    <t>FL HIGH MAST LUM V 500740 SYM R30</t>
  </si>
  <si>
    <t>FL HIGH MAST LUM V 500757 SYM R30</t>
  </si>
  <si>
    <t>FL HIGH MAST LUM V 500730 SYM R60</t>
  </si>
  <si>
    <t>FL HIGH MAST LUM V 500740 SYM R60</t>
  </si>
  <si>
    <t>FL HIGH MAST LUM V 500757 SYM R60</t>
  </si>
  <si>
    <t>FL HIGH MAST LUM V 500730 SYM R90</t>
  </si>
  <si>
    <t>FL HIGH MAST LUM V 500740 SYM R90</t>
  </si>
  <si>
    <t>FL HIGH MAST LUM V 500757 SYM R90</t>
  </si>
  <si>
    <t>FL HIGH MAST LUM V 300730 ASYM 110x30</t>
  </si>
  <si>
    <t>FL HIGH MAST LUM V 300740 ASYM 110x30</t>
  </si>
  <si>
    <t>FL HIGH MAST LUM V 300757 ASYM 110x30</t>
  </si>
  <si>
    <t>FL HIGH MAST LUM V 500730 ASYM 110x30</t>
  </si>
  <si>
    <t>FL HIGH MAST LUM V 500740 ASYM 110x30</t>
  </si>
  <si>
    <t>FL HIGH MAST LUM V 500757 ASYM 110x30</t>
  </si>
  <si>
    <t>FL HIGH MAST POWER SUPLLY V 300DALI</t>
  </si>
  <si>
    <t>FL HIGH MAST POWER SUPLLY V 500DALI</t>
  </si>
  <si>
    <t>SL FLEX SM RV25ST P 13727 WAL</t>
  </si>
  <si>
    <t>SL FLEX SM RV25ST P 13730 WAL</t>
  </si>
  <si>
    <t>SL FLEX SM RV25ST P 13740 WAL</t>
  </si>
  <si>
    <t>SL FLEX SM RV25ST P 25727 WAL</t>
  </si>
  <si>
    <t>SL FLEX SM RV25ST P 25730 WAL</t>
  </si>
  <si>
    <t>SL FLEX SM RV25ST P 25740 WAL</t>
  </si>
  <si>
    <t>SL FLEX SM RV25ST P 36727WAL</t>
  </si>
  <si>
    <t>SL FLEX SM RV25ST P 36730 WAL</t>
  </si>
  <si>
    <t>SL FLEX SM RV25ST P 36740 WAL</t>
  </si>
  <si>
    <t>SL FLEX MD RV25ST P 58727 WAL</t>
  </si>
  <si>
    <t>SL FLEX MD RV25ST P 58730 WAL</t>
  </si>
  <si>
    <t>SL FLEX MD RV25ST P 58740 WAL</t>
  </si>
  <si>
    <t>SL FLEX MD RV25ST P 80727 WAL</t>
  </si>
  <si>
    <t>SL FLEX MD RV25ST P 80730 WAL</t>
  </si>
  <si>
    <t>SL FLEX MD RV25ST P 80740 WAL</t>
  </si>
  <si>
    <t>SL FLEX MD RW35ST P 80727 WAL</t>
  </si>
  <si>
    <t>SL FLEX MD RW35ST P 80730 WAL</t>
  </si>
  <si>
    <t>SL FLEX MD RW35ST P 80740 WAL</t>
  </si>
  <si>
    <t>SL FLEX LA RV25ST P 110727 WAL</t>
  </si>
  <si>
    <t>SL FLEX LA RV25ST P 110730 WAL</t>
  </si>
  <si>
    <t>SL FLEX LA RV25ST P 110740 WAL</t>
  </si>
  <si>
    <t>SL FLEX LA RW35ST P 110727 WAL</t>
  </si>
  <si>
    <t>SL FLEX LA RW35ST P 110730 WAL</t>
  </si>
  <si>
    <t>SL FLEX LA RW35ST P 110740 WAL</t>
  </si>
  <si>
    <t>SL FLEX LA RV25ST P 158727 WAL</t>
  </si>
  <si>
    <t>SL FLEX LA RV25ST P 158730 WAL</t>
  </si>
  <si>
    <t>SL FLEX LA RV25ST P 158740 WAL</t>
  </si>
  <si>
    <t>SL FLEX LA RW35ST P 158727 WAL</t>
  </si>
  <si>
    <t>SL FLEX LA RW35ST P 158730 WAL</t>
  </si>
  <si>
    <t>SL FLEX LA RW35ST P 158740 WAL</t>
  </si>
  <si>
    <t xml:space="preserve">SL AREA SPD SM V 30727 RV20ST GY </t>
  </si>
  <si>
    <t>SL AREA SPD SM V 30727 RV20ST GY</t>
  </si>
  <si>
    <t xml:space="preserve">SL AREA SPD SM V 30730 RV20ST GY </t>
  </si>
  <si>
    <t>SL AREA SPD SM V 30730 RV20ST GY</t>
  </si>
  <si>
    <t>SL AREA SPD SM V 30740 RV20ST GY</t>
  </si>
  <si>
    <t>SL AREA SPD SM V 30765 RV20ST GY</t>
  </si>
  <si>
    <t xml:space="preserve">SL AREA SPD SM V 45727 RV20ST GY </t>
  </si>
  <si>
    <t>SL AREA SPD SM V 45727 RV20ST GY</t>
  </si>
  <si>
    <t xml:space="preserve">SL AREA SPD SM V 45730 RV20ST GY </t>
  </si>
  <si>
    <t>SL AREA SPD SM V 45730 RV20ST GY</t>
  </si>
  <si>
    <t xml:space="preserve">SL AREA SPD SM V 45740 RV20ST GY </t>
  </si>
  <si>
    <t>SL AREA SPD SM V 45740 RV20ST GY</t>
  </si>
  <si>
    <t xml:space="preserve">SL AREA SPD SM V 45765 RV20ST GY      </t>
  </si>
  <si>
    <t xml:space="preserve">SL AREA SPD MD V 65727 RV20ST GY </t>
  </si>
  <si>
    <t>SL AREA SPD MD V 65727 RV20ST GY</t>
  </si>
  <si>
    <t xml:space="preserve">SL AREA SPD MD V 65730 RV20ST GY </t>
  </si>
  <si>
    <t>SL AREA SPD MD V 65730 RV20ST GY</t>
  </si>
  <si>
    <t xml:space="preserve">SL AREA SPD MD V 65740 RV20ST GY </t>
  </si>
  <si>
    <t>SL AREA SPD MD V 65740 RV20ST GY</t>
  </si>
  <si>
    <t>SL AREA SPD MD V 65765 RV20ST GY</t>
  </si>
  <si>
    <t>SL AREA SPD LA V 90727 RV35ST GY</t>
  </si>
  <si>
    <t>SL AREA SPD LA V 90730 RV35ST GY</t>
  </si>
  <si>
    <t>SL AREA SPD LA V 90740 RV35ST GY</t>
  </si>
  <si>
    <t>SL AREA SPD LA V 90765 RV35ST GY</t>
  </si>
  <si>
    <t>ECO AREA SPD 90827 IP66 GY</t>
  </si>
  <si>
    <t xml:space="preserve">ECO AREA SPD 90830 IP66 GY </t>
  </si>
  <si>
    <t>ECO AREA SPD 90840 IP66 GY</t>
  </si>
  <si>
    <t xml:space="preserve">ECO AREA SPD 90865 IP66 GY </t>
  </si>
  <si>
    <t xml:space="preserve">ECO AREA SPD 120827 IP66 GY </t>
  </si>
  <si>
    <t>ECO AREA SPD 120830 IP66 GY</t>
  </si>
  <si>
    <t>ECO AREA SPD 120840 IP66 GY</t>
  </si>
  <si>
    <t>ECO AREA SPD 120865 IP66 GY</t>
  </si>
  <si>
    <t>ECO AREA SPD 150827 IP66 GY</t>
  </si>
  <si>
    <t xml:space="preserve">ECO AREA SPD 150830 IP66 GY </t>
  </si>
  <si>
    <t xml:space="preserve">ECO AREA SPD 150840 IP66 GY </t>
  </si>
  <si>
    <t>ECO AREA SPD 150865 IP66 GY</t>
  </si>
  <si>
    <t>URB LTRN V 29SYM PS 822-827 IP66 GY</t>
  </si>
  <si>
    <t>URB LTRN V 29SYM PS 822-827 IP66 BK</t>
  </si>
  <si>
    <t>URB LTRN V 29SYM PS 830-840 IP66 BK</t>
  </si>
  <si>
    <t>URB LTRN V 29SYM PS 830-840 IP66 GY</t>
  </si>
  <si>
    <t>URB LTRN V 59SYM PS 822-827 IP66 GY</t>
  </si>
  <si>
    <t>URB LTRN V 59SYM PS 822-827 IP66 BK</t>
  </si>
  <si>
    <t>URB LTRN V 59SYM PS 830-840 IP66 BK</t>
  </si>
  <si>
    <t>URB LTRN V 59SYM PS 830-840 IP66 GY</t>
  </si>
  <si>
    <t>URB LTRN V 29ASYM PS 822-827 IP66 GY</t>
  </si>
  <si>
    <t>URB LTRN V 29ASYM PS 822-827 IP66 BK</t>
  </si>
  <si>
    <t>URB LTRN V 29ASYM PS 830-840 IP66 BK</t>
  </si>
  <si>
    <t>URB LTRN V 29ASYM PS 830-840 IP66 GY</t>
  </si>
  <si>
    <t>URB LTRN V 59ASYM PS 822-827 IP66 GY</t>
  </si>
  <si>
    <t>URB LTRN V 59ASYM PS 822-827 IP66 BK</t>
  </si>
  <si>
    <t>URB LTRN V 59ASYM PS 830-840 IP66 BK</t>
  </si>
  <si>
    <t>URB LTRN V 59ASYM PS 830-840 IP66 GY</t>
  </si>
  <si>
    <t>BIOLUX HCL PL 600 S 40TDALI</t>
  </si>
  <si>
    <t>BIOLUX HCL PL 1200 S 37TDALI</t>
  </si>
  <si>
    <t>BIOLUX HCL DL DN150 S 21TDALI</t>
  </si>
  <si>
    <t>BIOLUX HCL PL 600 S 40TZB</t>
  </si>
  <si>
    <t xml:space="preserve">BIOLUX HCL PL 1200 S 37TZB </t>
  </si>
  <si>
    <t>BIOLUX HCL DL DN150 20TZB</t>
  </si>
  <si>
    <t>BIOLUX HCL LS S TZB KIT</t>
  </si>
  <si>
    <t>BIOLUX HCL LS S TIP67 ZB KIT</t>
  </si>
  <si>
    <t>Painel LC RF TOUCH PANEL T</t>
  </si>
  <si>
    <t>Painel LC RF TOUCH PANEL RGB</t>
  </si>
  <si>
    <t>Topos de silicone LED Strip Superior Silicone Glue-12/SE/P SIL-SEAL - T(4 unid.)</t>
  </si>
  <si>
    <t>Topos de silicone LED Strip PerformLedvance Silicone Glue-13/SE/P SIL-SEAL - RGB(4 unid.)</t>
  </si>
  <si>
    <t>Driver DR P 500220-240V 215V P</t>
  </si>
  <si>
    <t xml:space="preserve">LEDTUBE T8 EM CON P 600 7,5830     </t>
  </si>
  <si>
    <t>LEDTUBE T8 EM CON P 600 7,5840</t>
  </si>
  <si>
    <t>LEDTUBE T8 EM CON P 600 7,5865</t>
  </si>
  <si>
    <t xml:space="preserve">LEDTUBE T8 EM CON P 1200 16830   </t>
  </si>
  <si>
    <t>LEDTUBE T8 EM CON P 1200 16840</t>
  </si>
  <si>
    <t>LEDTUBE T8 EM CON P 1200 16865</t>
  </si>
  <si>
    <t xml:space="preserve">LEDTUBE T8 EM CON P 1500 24830   </t>
  </si>
  <si>
    <t>LEDTUBE T8 EM CON P 1500 24840</t>
  </si>
  <si>
    <t>LEDTUBE T8 EM CON P 1500 24865</t>
  </si>
  <si>
    <t>LEDTUBE T8 EM UO HT S 1200 14840</t>
  </si>
  <si>
    <t>LEDTUBE T8 EM UO HB S 1200 14840</t>
  </si>
  <si>
    <t>LEDTUBE T8 EM EECA S 1200 10840</t>
  </si>
  <si>
    <t>LEDTUBE T8 EM EECA S 1500 17.6840</t>
  </si>
  <si>
    <t>LEDTUBE T8 EM CHIP S 181200</t>
  </si>
  <si>
    <t>LEDTUBE T8 EM CHIP S 231500</t>
  </si>
  <si>
    <t>LEDTUBE T8 EM UO S 1200 14830</t>
  </si>
  <si>
    <t>LEDTUBE T8 EM UO S 1200 14840</t>
  </si>
  <si>
    <t>LEDTUBE T8 EM UO S 1200 14850</t>
  </si>
  <si>
    <t>LEDTUBE T8 EM UO S 1200 14865</t>
  </si>
  <si>
    <t>LEDTUBE T8 EM UO S 1500 22.2830</t>
  </si>
  <si>
    <t>LEDTUBE T8 EM UO S 1500 22.1840</t>
  </si>
  <si>
    <t>LEDTUBE T8 EM UO S 1500 22.1850</t>
  </si>
  <si>
    <t>LEDTUBE T8 EM UO S 1500 22.1865</t>
  </si>
  <si>
    <t>LEDTUBE T8 EM UO S 1200 14940</t>
  </si>
  <si>
    <t>LEDTUBE T8 EM UO S 1500 22.1940</t>
  </si>
  <si>
    <t>LEDTUBE T8 EM S 438 5.1830</t>
  </si>
  <si>
    <t>LEDTUBE T8 EM S 438 5.1840</t>
  </si>
  <si>
    <t>LEDTUBE T8 EM S 438 5.1865</t>
  </si>
  <si>
    <t>LEDTUBE T8 EM S 600 6.3830</t>
  </si>
  <si>
    <t>LEDTUBE T8 EM S 600 6.3840</t>
  </si>
  <si>
    <t>LEDTUBE T8 EM S 600 6.3865</t>
  </si>
  <si>
    <t>LEDTUBE T8 EM S 900 9.7830</t>
  </si>
  <si>
    <t>LEDTUBE T8 EM S 900 9.7840</t>
  </si>
  <si>
    <t>LEDTUBE T8 EM S 900 9.7865</t>
  </si>
  <si>
    <t>LEDTUBE T8 EM S 1050 11.4830</t>
  </si>
  <si>
    <t>LEDTUBE T8 EM S 1050 11.4840</t>
  </si>
  <si>
    <t>LEDTUBE T8 EM S 1050 11.4865</t>
  </si>
  <si>
    <t>LEDTUBE T8 EM S 1200 12830</t>
  </si>
  <si>
    <t>LEDTUBE T8 EM S 1200 12840</t>
  </si>
  <si>
    <t>LEDTUBE T8 EM S 1200 12865</t>
  </si>
  <si>
    <t>LEDTUBE T8 EM S 1500 17.7830</t>
  </si>
  <si>
    <t>LEDTUBE T8 EM S 1500 17.7840</t>
  </si>
  <si>
    <t>LEDTUBE T8 EM S 1500 17.7865</t>
  </si>
  <si>
    <t>LEDTUBE T8 EM UO P 1200 15.6830</t>
  </si>
  <si>
    <t>LEDTUBE T8 EM UO P 1200 15.6840</t>
  </si>
  <si>
    <t>LEDTUBE T8 EM UO P 1200 15.6865</t>
  </si>
  <si>
    <t>LEDTUBE T8 EM UO P 1500 23.1830</t>
  </si>
  <si>
    <t>LEDTUBE T8 EM UO P 1500 23.1840</t>
  </si>
  <si>
    <t>LEDTUBE T8 EM UO P 1500 23.1865</t>
  </si>
  <si>
    <t>LEDTUBE T8 EM P 600 7830</t>
  </si>
  <si>
    <t>LEDTUBE T8 EM P 600 7840</t>
  </si>
  <si>
    <t>LEDTUBE T8 EM P 600 7865</t>
  </si>
  <si>
    <t>LEDTUBE T8 EM P 1200 13.5830</t>
  </si>
  <si>
    <t>LEDTUBE T8 EM P 1200 13.5840</t>
  </si>
  <si>
    <t>LEDTUBE T8 EM P 1200 13.5865</t>
  </si>
  <si>
    <t>LEDTUBE T8 EM P 1500 20830</t>
  </si>
  <si>
    <t>LEDTUBE T8 EM P 1500 20840</t>
  </si>
  <si>
    <t>LEDTUBE T8 EM P 1500 20865</t>
  </si>
  <si>
    <t xml:space="preserve">LEDTUBE T8 EM UO V 1200 20830    </t>
  </si>
  <si>
    <t xml:space="preserve">LEDTUBE T8 EM UO V 1200 20840    </t>
  </si>
  <si>
    <t xml:space="preserve">LEDTUBE T8 EM UO V 1200 20865    </t>
  </si>
  <si>
    <t xml:space="preserve">LEDTUBE T8 EM UO V 1500 29830    </t>
  </si>
  <si>
    <t xml:space="preserve">LEDTUBE T8 EM UO V 1500 29840    </t>
  </si>
  <si>
    <t xml:space="preserve">LEDTUBE T8 EM UO V 1500 29865    </t>
  </si>
  <si>
    <t xml:space="preserve">LEDTUBE T8 EM V 438 5.4830       </t>
  </si>
  <si>
    <t xml:space="preserve">LEDTUBE T8 EM V 438 5.4840       </t>
  </si>
  <si>
    <t xml:space="preserve">LEDTUBE T8 EM V 438 5.4865       </t>
  </si>
  <si>
    <t xml:space="preserve">LEDTUBE T8 EM V 600 6.6830       </t>
  </si>
  <si>
    <t xml:space="preserve">LEDTUBE T8 EM V 600 6.6840       </t>
  </si>
  <si>
    <t xml:space="preserve">LEDTUBE T8 EM V 600 6.6865       </t>
  </si>
  <si>
    <t xml:space="preserve">LEDTUBE T8 EM V 720 7840         </t>
  </si>
  <si>
    <t xml:space="preserve">LEDTUBE T8 EM V 720 7865         </t>
  </si>
  <si>
    <t xml:space="preserve">LEDTUBE T8 EM V 900 10830        </t>
  </si>
  <si>
    <t xml:space="preserve">LEDTUBE T8 EM V 900 10840        </t>
  </si>
  <si>
    <t xml:space="preserve">LEDTUBE T8 EM V 900 10865        </t>
  </si>
  <si>
    <t xml:space="preserve">LEDTUBE T8 EM V 1050 11.6830     </t>
  </si>
  <si>
    <t xml:space="preserve">LEDTUBE T8 EM V 1050 11.6840     </t>
  </si>
  <si>
    <t xml:space="preserve">LEDTUBE T8 EM V 1050 11.6865     </t>
  </si>
  <si>
    <t xml:space="preserve">LEDTUBE T8 EM V 1200 15830       </t>
  </si>
  <si>
    <t xml:space="preserve">LEDTUBE T8 EM V 1200 15840       </t>
  </si>
  <si>
    <t xml:space="preserve">LEDTUBE T8 EM V 1200 15865       </t>
  </si>
  <si>
    <t xml:space="preserve">LEDTUBE T8 EM V 1500 18.3830     </t>
  </si>
  <si>
    <t xml:space="preserve">LEDTUBE T8 EM V 1500 18.3840     </t>
  </si>
  <si>
    <t xml:space="preserve">LEDTUBE T8 EM V 1500 18.3865     </t>
  </si>
  <si>
    <t xml:space="preserve">LEDTUBE T8 EM MS P 600 6.8840    </t>
  </si>
  <si>
    <t xml:space="preserve">LEDTUBE T8 EM MS P 1200 13.1840  </t>
  </si>
  <si>
    <t xml:space="preserve">LEDTUBE T8 EM MS P 1500 19.3840  </t>
  </si>
  <si>
    <t xml:space="preserve">LEDTUBE T8 EM FOOD P 600 5.2833  </t>
  </si>
  <si>
    <t xml:space="preserve">LEDTUBE T8 EM FOOD P 900 7.9833  </t>
  </si>
  <si>
    <t>LEDTUBE T8 EM FOOD P 1200 11.6833</t>
  </si>
  <si>
    <t>LEDTUBE T8 EM FOOD P 1500 17.9833</t>
  </si>
  <si>
    <t xml:space="preserve">LEDTUBE T8 UN UO P 1200 15840    </t>
  </si>
  <si>
    <t xml:space="preserve">LEDTUBE T8 UN UO P 1200 15865    </t>
  </si>
  <si>
    <t xml:space="preserve">LEDTUBE T8 UN UO P 1500 23840    </t>
  </si>
  <si>
    <t xml:space="preserve">LEDTUBE T8 UN UO P 1500 23865    </t>
  </si>
  <si>
    <t xml:space="preserve">LEDTUBE T8 UN P 600 7,5830       </t>
  </si>
  <si>
    <t xml:space="preserve">LEDTUBE T8 UN P 600 7,5840       </t>
  </si>
  <si>
    <t xml:space="preserve">LEDTUBE T8 UN P 600 7,5865       </t>
  </si>
  <si>
    <t xml:space="preserve">LEDTUBE T8 UN P 1200 14830       </t>
  </si>
  <si>
    <t xml:space="preserve">LEDTUBE T8 UN P 1200 14840       </t>
  </si>
  <si>
    <t xml:space="preserve">LEDTUBE T8 UN P 1200 14865       </t>
  </si>
  <si>
    <t xml:space="preserve">LEDTUBE T8 UN P 1500 20830       </t>
  </si>
  <si>
    <t xml:space="preserve">LEDTUBE T8 UN P 1500 20840       </t>
  </si>
  <si>
    <t xml:space="preserve">LEDTUBE T8 UN P 1500 20865       </t>
  </si>
  <si>
    <t xml:space="preserve">LEDTUBE T8 UN V 600 8830         </t>
  </si>
  <si>
    <t xml:space="preserve">LEDTUBE T8 UN V 600 8840         </t>
  </si>
  <si>
    <t xml:space="preserve">LEDTUBE T8 UN V 600 8865         </t>
  </si>
  <si>
    <t xml:space="preserve">LEDTUBE T8 UN V 1200 18830       </t>
  </si>
  <si>
    <t xml:space="preserve">LEDTUBE T8 UN V 1200 18840       </t>
  </si>
  <si>
    <t xml:space="preserve">LEDTUBE T8 UN V 1200 18865       </t>
  </si>
  <si>
    <t xml:space="preserve">LEDTUBE T8 UN V 1500 24830       </t>
  </si>
  <si>
    <t xml:space="preserve">LEDTUBE T8 UN V 1500 24840       </t>
  </si>
  <si>
    <t xml:space="preserve">LEDTUBE T8 UN V 1500 24865       </t>
  </si>
  <si>
    <t xml:space="preserve">LEDTUBE T8 HF UO P 1200 15840    </t>
  </si>
  <si>
    <t xml:space="preserve">LEDTUBE T8 HF UO P 1200 15865    </t>
  </si>
  <si>
    <t xml:space="preserve">LEDTUBE T8 HF UO P 1500 23840    </t>
  </si>
  <si>
    <t xml:space="preserve">LEDTUBE T8 HF UO P 1500 23865    </t>
  </si>
  <si>
    <t xml:space="preserve">LEDTUBE T8 HF P 600 7,5830       </t>
  </si>
  <si>
    <t xml:space="preserve">LEDTUBE T8 HF P 600 7,5840       </t>
  </si>
  <si>
    <t xml:space="preserve">LEDTUBE T8 HF P 600 7,5865       </t>
  </si>
  <si>
    <t xml:space="preserve">LEDTUBE T8 HF P 1200 14830       </t>
  </si>
  <si>
    <t xml:space="preserve">LEDTUBE T8 HF P 1200 14840       </t>
  </si>
  <si>
    <t xml:space="preserve">LEDTUBE T8 HF P 1200 14865       </t>
  </si>
  <si>
    <t xml:space="preserve">LEDTUBE T8 HF P 1500 20830       </t>
  </si>
  <si>
    <t xml:space="preserve">LEDTUBE T8 HF P 1500 20840       </t>
  </si>
  <si>
    <t xml:space="preserve">LEDTUBE T8 HF P 1500 20865       </t>
  </si>
  <si>
    <t xml:space="preserve">LEDTUBE T8 HF V 600 8840         </t>
  </si>
  <si>
    <t xml:space="preserve">LEDTUBE T8 HF V 600 8865         </t>
  </si>
  <si>
    <t xml:space="preserve">LEDVANCE LED TUBE T5 HO HF Performance  (ECG), T5 HO 80replacement </t>
  </si>
  <si>
    <t xml:space="preserve">LEDTUBE T5 HF HO80 P 1449 36830  </t>
  </si>
  <si>
    <t xml:space="preserve">LEDTUBE T5 HF HO80 P 1449 36840  </t>
  </si>
  <si>
    <t xml:space="preserve">LEDTUBE T5 HF HO80 P 1449 36865  </t>
  </si>
  <si>
    <t xml:space="preserve">LEDVANCE LED TUBE T5 HO HF  Performance (ECG), T5 HO 54replacement </t>
  </si>
  <si>
    <t xml:space="preserve">LEDTUBE T5 HF HO54 P 1149 26830  </t>
  </si>
  <si>
    <t xml:space="preserve">LEDTUBE T5 HF HO54 P 1149 26840  </t>
  </si>
  <si>
    <t xml:space="preserve">LEDTUBE T5 HF HO54 P 1149 26865  </t>
  </si>
  <si>
    <t xml:space="preserve">LEDVANCE LED TUBE HO HF  Performance (ECG), T5 HO 49replacement </t>
  </si>
  <si>
    <t xml:space="preserve">LEDTUBE T5 HF HO49 P 1449 26830  </t>
  </si>
  <si>
    <t xml:space="preserve">LEDTUBE T5 HF HO49 P 1449 26840  </t>
  </si>
  <si>
    <t xml:space="preserve">LEDTUBE T5 HF HO49 P 1449 26865  </t>
  </si>
  <si>
    <t xml:space="preserve">LEDVANCE LED TUBE T5 HE HF  Performance  (ECG), T5 HE 35replacement </t>
  </si>
  <si>
    <t xml:space="preserve">LEDTUBE T5 HF HE35 P 1449 18830  </t>
  </si>
  <si>
    <t xml:space="preserve">LEDTUBE T5 HF HE35 P 1449 18840  </t>
  </si>
  <si>
    <t xml:space="preserve">LEDTUBE T5 HF HE35 P 1449 18865  </t>
  </si>
  <si>
    <t xml:space="preserve">LEDVANCE LED TUBE T5 HE  Performance (ECG), T5 HE 28replacement </t>
  </si>
  <si>
    <t xml:space="preserve">LEDTUBE T5 HF HE28 P 1149 16830  </t>
  </si>
  <si>
    <t xml:space="preserve">LEDTUBE T5 HF HE28 P 1149 16840  </t>
  </si>
  <si>
    <t xml:space="preserve">LEDTUBE T5 HF HE28 P 1149 16865  </t>
  </si>
  <si>
    <t>LEDVANCE LED TUBE T5 HE HF  Performance  (ECG), T5 HE 21replacement</t>
  </si>
  <si>
    <t xml:space="preserve">LEDTUBE T5 HF HE21 P 849 10830   </t>
  </si>
  <si>
    <t xml:space="preserve">LEDTUBE T5 HF HE21 P 849 10840   </t>
  </si>
  <si>
    <t xml:space="preserve">LEDTUBE T5 HF HE21 P 849 10865   </t>
  </si>
  <si>
    <t>LEDVANCE LED TUBE HE HF  Performance  (ECG), T5 HE 14replacement</t>
  </si>
  <si>
    <t xml:space="preserve">LEDTUBE T5 HF HE14 P 549 7830    </t>
  </si>
  <si>
    <t xml:space="preserve">LEDTUBE T5 HF HE14 P 549 7840    </t>
  </si>
  <si>
    <t xml:space="preserve">LEDTUBE T5 HF HE14 P 549 7865    </t>
  </si>
  <si>
    <t xml:space="preserve">LEDVANCE LED TUBE T5 HO replacement 80 Performance  220-240V AC </t>
  </si>
  <si>
    <t xml:space="preserve">LEDTUBE T5 AC  HO80 P 1449 36830  </t>
  </si>
  <si>
    <t xml:space="preserve">LEDTUBE T5 AC  HO80 P 1449 36840  </t>
  </si>
  <si>
    <t xml:space="preserve">LEDTUBE T5 AC  HO80 P 1449 36865  </t>
  </si>
  <si>
    <t xml:space="preserve">LEDVANCE LED TUBE T5 HO  replacement 54 Performance  220-240V AC </t>
  </si>
  <si>
    <t xml:space="preserve">LEDTUBE T5 AC HO54 P 1149 26830  </t>
  </si>
  <si>
    <t xml:space="preserve">LEDTUBE T5 AC HO54 P 1149 26840  </t>
  </si>
  <si>
    <t xml:space="preserve">LEDTUBE T5 AC HO54 P 1149 26865  </t>
  </si>
  <si>
    <t xml:space="preserve">LEDVANCE LED TUBE T5 HO  replacement 49 Performance  220-240V AC </t>
  </si>
  <si>
    <t xml:space="preserve">LEDTUBE T5 AC HO49 P 1449 26830  </t>
  </si>
  <si>
    <t xml:space="preserve">LEDTUBE T5 AC HO49 P 1449 26840  </t>
  </si>
  <si>
    <t xml:space="preserve">LEDTUBE T5 AC HO49 P1449 26865  </t>
  </si>
  <si>
    <t xml:space="preserve">LEDVANCE LED TUBE T5 HO Replacement 39 Performance  220-240V AC </t>
  </si>
  <si>
    <t xml:space="preserve">LEDTUBE T5 AC HO39 P 849 16830   </t>
  </si>
  <si>
    <t xml:space="preserve">LEDTUBE T5 AC HO39 P 849 16840   </t>
  </si>
  <si>
    <t xml:space="preserve">LEDTUBE T5 AC HO39 P 849 16865   </t>
  </si>
  <si>
    <t xml:space="preserve">LEDVANCE LED TUBE T5 HO replacement 24  Performance 220-240V AC </t>
  </si>
  <si>
    <t xml:space="preserve">LEDTUBE T5 AC HO24 P 549 10830   </t>
  </si>
  <si>
    <t xml:space="preserve">LEDTUBE T5 AC HO24 P 549 10840   </t>
  </si>
  <si>
    <t xml:space="preserve">LEDTUBE T5 AC HO24 P 549 10865   </t>
  </si>
  <si>
    <t xml:space="preserve">LEDVANCE LED TUBE T5 HE replacement 35Performance 220-240V AC </t>
  </si>
  <si>
    <t xml:space="preserve">LEDTUBE T5 AC HE35 P 1449 18830   </t>
  </si>
  <si>
    <t xml:space="preserve">LEDTUBE T5 AC HE35 P 1449 18840   </t>
  </si>
  <si>
    <t xml:space="preserve">LEDTUBE T5 AC HE35 P 1449 18865   </t>
  </si>
  <si>
    <t xml:space="preserve">LEDVANCE LED TUBE T5 HE replacement  28Performance   220-240V AC </t>
  </si>
  <si>
    <t>LEDTUBE T5 AC HE28 P 1149 16830       </t>
  </si>
  <si>
    <t xml:space="preserve">LEDTUBE T5 AC HE28 P 1149 16840    </t>
  </si>
  <si>
    <t xml:space="preserve">LEDTUBE T5 AC HE28 P 1149 16865  </t>
  </si>
  <si>
    <t xml:space="preserve">LEDVANCE LED TUBE T5 HE  replacement 21Performance   220-240V AC </t>
  </si>
  <si>
    <t xml:space="preserve">LEDTUBE T5 AC HE21 849 10830      </t>
  </si>
  <si>
    <t xml:space="preserve">LEDTUBE T5 AC HE21 849 10840      </t>
  </si>
  <si>
    <t xml:space="preserve">LEDTUBE T5 AC HE21 849 10865     </t>
  </si>
  <si>
    <t xml:space="preserve">LEDVANCE LED TUBE T5 HE replacement 14Performance  220-240V AC </t>
  </si>
  <si>
    <t xml:space="preserve">LEDTUBE T5 AC HE14 P 549 8830 </t>
  </si>
  <si>
    <t xml:space="preserve">LEDTUBE T5 AC HE14 P 549 8840 </t>
  </si>
  <si>
    <t xml:space="preserve">LEDTUBE T5 AC  HE14 P 549 8865 </t>
  </si>
  <si>
    <t xml:space="preserve">LEDTUBE T5 HF L8 SHORT V 288 4830 </t>
  </si>
  <si>
    <t xml:space="preserve">LEDTUBE T5 HF L8 SHORT V 288 4840 </t>
  </si>
  <si>
    <t xml:space="preserve">LEDTUBE T5 HF L13 SHORT V 517 7830 </t>
  </si>
  <si>
    <t xml:space="preserve">LEDTUBE T5 HF L13 SHORT V 517 7840 </t>
  </si>
  <si>
    <t xml:space="preserve">LEDTUBE T8 EXT P 1500 23830      </t>
  </si>
  <si>
    <t xml:space="preserve">LEDTUBE T8 EXT P 1500 23840    </t>
  </si>
  <si>
    <t xml:space="preserve">LEDTUBE T8 EXT P 1500 23865    </t>
  </si>
  <si>
    <t xml:space="preserve">LEDTUBE T8 EXT P 1200 15830      </t>
  </si>
  <si>
    <t xml:space="preserve">LEDTUBE T8 EXT P 1200 15840    </t>
  </si>
  <si>
    <t xml:space="preserve">LEDTUBE T8 EXT P 1200 15865    </t>
  </si>
  <si>
    <t xml:space="preserve">LEDTUBE T8 EXT P 600 7.3830    </t>
  </si>
  <si>
    <t xml:space="preserve">LEDTUBE T8 EXT P 600 7.3840    </t>
  </si>
  <si>
    <t xml:space="preserve">LEDTUBE T8 EXT P 600 7.3865    </t>
  </si>
  <si>
    <t xml:space="preserve">LEDTUBE T5 EXT HO80 P 1449 37830 </t>
  </si>
  <si>
    <t xml:space="preserve">LEDTUBE T5 EXT P HO80 1449 37840    </t>
  </si>
  <si>
    <t>LEDTUBE T5 EXT P HO80 1449 37840    LEDV</t>
  </si>
  <si>
    <t xml:space="preserve">LEDTUBE T5 EXT P HO80 1449 37865    </t>
  </si>
  <si>
    <t>LEDTUBE T5 EXT P HO80 1449 37865    LEDV</t>
  </si>
  <si>
    <t xml:space="preserve">LEDTUBE T5 EXT HO49 P 1449 26830 </t>
  </si>
  <si>
    <t xml:space="preserve">LEDTUBE T5 EXT P HO49 1449 26840    </t>
  </si>
  <si>
    <t>LEDTUBE T5 EXT P HO49 1449 26840    LEDV</t>
  </si>
  <si>
    <t xml:space="preserve">LEDTUBE T5 EXT P HO49 1449 26865    </t>
  </si>
  <si>
    <t>LEDTUBE T5 EXT P HO49 1449 26865    LEDV</t>
  </si>
  <si>
    <t xml:space="preserve">LEDTUBE T5 EXT HO39 1449 17830    </t>
  </si>
  <si>
    <t xml:space="preserve">LEDTUBE T5 EXT P HO39 1449 17840    </t>
  </si>
  <si>
    <t xml:space="preserve">LEDTUBE T5 EXT P HO39 1449 17865    </t>
  </si>
  <si>
    <t xml:space="preserve">LEDTUBE T5 EXT HO54 P 1149 26830 </t>
  </si>
  <si>
    <t xml:space="preserve">LEDTUBE T5 EXT P HO54 1149 26840    </t>
  </si>
  <si>
    <t>LEDTUBE T5 EXT P HO54 1149 26840    LEDV</t>
  </si>
  <si>
    <t xml:space="preserve">LEDTUBE T5 EXT P HO54 1149 26865    </t>
  </si>
  <si>
    <t>LEDTUBE T5 EXT P HO54 1149 26865    LEDV</t>
  </si>
  <si>
    <t xml:space="preserve">LEDTUBE T5 EXT HO24 P 549 10.5830 </t>
  </si>
  <si>
    <t xml:space="preserve">LEDTUBE T5 EXT HO24 P 549 10.5840 </t>
  </si>
  <si>
    <t xml:space="preserve">LEDTUBE T5 EXT HO24 P 549 10.5865 </t>
  </si>
  <si>
    <t xml:space="preserve">LEDTUBE T5 EXT HE35 P 1449 18830 </t>
  </si>
  <si>
    <t xml:space="preserve">LEDTUBE T5 EXT P HE35 1449 18840    </t>
  </si>
  <si>
    <t>LEDTUBE T5 EXT P HE35 1449 18840    LEDV</t>
  </si>
  <si>
    <t xml:space="preserve">LEDTUBE T5 EXT P HE35 1449 18865    </t>
  </si>
  <si>
    <t>LEDTUBE T5 EXT P HE35 1449 18865    LEDV</t>
  </si>
  <si>
    <t xml:space="preserve">LEDTUBE T5 EXT HE28 P 1149 16830 </t>
  </si>
  <si>
    <t xml:space="preserve">LEDTUBE T5 EXT HE28 P 1149 16840 </t>
  </si>
  <si>
    <t xml:space="preserve">LEDTUBE T5 EXT HE28 P 1149 16865 </t>
  </si>
  <si>
    <t xml:space="preserve">LEDTUBE T5 EXT HE21 P 849 10.5830 </t>
  </si>
  <si>
    <t xml:space="preserve">LEDTUBE T5 EXT HE21 P 849 10.5840 </t>
  </si>
  <si>
    <t xml:space="preserve">LEDTUBE T5 EXT HE21 P 849 10.5865 </t>
  </si>
  <si>
    <t xml:space="preserve">LEDTUBE T5 EXT HE14 P 549 7.3830 </t>
  </si>
  <si>
    <t xml:space="preserve">LEDTUBE T5 EXT HE14 P 549 7.3840 </t>
  </si>
  <si>
    <t xml:space="preserve">LEDTUBE T5 EXT HE14 P 549 7.3865 </t>
  </si>
  <si>
    <t xml:space="preserve">DR EXT DALI-P-1x7-37220-240    </t>
  </si>
  <si>
    <t xml:space="preserve">DR EXT DALI-P-2x7-26220-240    </t>
  </si>
  <si>
    <t xml:space="preserve">LED T5 EXT FC22 P 11.6830 2GX13 </t>
  </si>
  <si>
    <t xml:space="preserve">LED T5 EXT FC22 P 11.6840 2GX13 </t>
  </si>
  <si>
    <t xml:space="preserve">LED T5 EXT FC22 P 11.6865 2GX13 </t>
  </si>
  <si>
    <t xml:space="preserve">LED T5 EXT FC40/55 P 21.5830 2GX13 </t>
  </si>
  <si>
    <t xml:space="preserve">LED T5 EXT FC40/55 P 21.5840 2GX13 </t>
  </si>
  <si>
    <t xml:space="preserve">LED T5 EXT FC40/55 P 21.5865 2GX13 </t>
  </si>
  <si>
    <t>LED TUBE T9 C 22 EM V 11830 G10Q</t>
  </si>
  <si>
    <t>LED TUBE T9 C 22 EM V 11840 G10Q</t>
  </si>
  <si>
    <t>LED TUBE T9 C 22 EM V 11865 G10Q</t>
  </si>
  <si>
    <t>LED TUBE T9 C 32 EM V 18.3830 G10Q</t>
  </si>
  <si>
    <t>LED TUBE T9 C 32 EM V 18.3840 G10Q</t>
  </si>
  <si>
    <t>LED TUBE T9 C 32 EM V 18.3865 G10Q</t>
  </si>
  <si>
    <t>LED TUBE T9 C 40 EM V 24840 G10Q</t>
  </si>
  <si>
    <t>LED TUBE T9 C 40 EM V 24865 G10Q</t>
  </si>
  <si>
    <t xml:space="preserve">DULUX LED D10 EM V 5830 G24D-1 </t>
  </si>
  <si>
    <t xml:space="preserve">DULUX LED D10 EM V 5840 G24D-1 </t>
  </si>
  <si>
    <t xml:space="preserve">DULUX LED D13 EM V 6830 G24D-1 </t>
  </si>
  <si>
    <t xml:space="preserve">DULUX LED D13 EM V 6840 G24D-1 </t>
  </si>
  <si>
    <t xml:space="preserve">DULUX LED D18 EM V 7830 G24D-2 </t>
  </si>
  <si>
    <t xml:space="preserve">DULUX LED D18 EM V 7840 G24D-2 </t>
  </si>
  <si>
    <t xml:space="preserve">DULUX LED D26 EM V 9830 G24D-3 </t>
  </si>
  <si>
    <t xml:space="preserve">DULUX LED D26 EM V 9840 G24D-3 </t>
  </si>
  <si>
    <t xml:space="preserve">DULUX LED D13 VT EM V 5.5830 G24D </t>
  </si>
  <si>
    <t xml:space="preserve">DULUX LED D13 VT EM V 5.5840 G24D </t>
  </si>
  <si>
    <t xml:space="preserve">DULUX LED D18 VT EM V 7.5830 G24D </t>
  </si>
  <si>
    <t xml:space="preserve">DULUX LED D18 VT EM V 7.5840 G24D </t>
  </si>
  <si>
    <t xml:space="preserve">DULUX LED D26 VT EM V 9.5830 G24D </t>
  </si>
  <si>
    <t xml:space="preserve">DULUX LED D26 VT EM V 9.5840 G24D </t>
  </si>
  <si>
    <t xml:space="preserve">DULUX LED D/E13HF V 6830 G24Q-1 </t>
  </si>
  <si>
    <t xml:space="preserve">DULUX LED D/E13HF V 6840 G24Q-1 </t>
  </si>
  <si>
    <t xml:space="preserve">DULUX LED D/E18HF V 7830 G24Q-2 </t>
  </si>
  <si>
    <t xml:space="preserve">DULUX LED D/E18HF V 7840 G24Q-2 </t>
  </si>
  <si>
    <t xml:space="preserve">DULUX LED D/E26HF V 10830 G24Q-3 </t>
  </si>
  <si>
    <t xml:space="preserve">DULUX LED D/E26HF V 10840 G24Q-3 </t>
  </si>
  <si>
    <t xml:space="preserve">DULUX LED S7 EM V 3.5830 G23 </t>
  </si>
  <si>
    <t xml:space="preserve">DULUX LED S7 EM V 3.5840 G23 </t>
  </si>
  <si>
    <t xml:space="preserve">DULUX LED S9 EM V 4830 G23 </t>
  </si>
  <si>
    <t xml:space="preserve">DULUX LED S9 EM V 4840 G23 </t>
  </si>
  <si>
    <t xml:space="preserve">DULUX LED S11 EM V 6830 G23 </t>
  </si>
  <si>
    <t xml:space="preserve">DULUX LED S11 EM V 6840 G23 </t>
  </si>
  <si>
    <t xml:space="preserve">DULUX LED L18 HF V 8830  2G11 </t>
  </si>
  <si>
    <t xml:space="preserve">DULUX LED L18 HF V 8840  2G11 </t>
  </si>
  <si>
    <t xml:space="preserve">DULUX LED L24 HF V 12830  2G11 </t>
  </si>
  <si>
    <t xml:space="preserve">DULUX LED L24 HF V 12840  2G11 </t>
  </si>
  <si>
    <t xml:space="preserve">DULUX LED L36 HF V 18830  2G11 </t>
  </si>
  <si>
    <t xml:space="preserve">DULUX LED L36 HF V 18840  2G11 </t>
  </si>
  <si>
    <t xml:space="preserve">DULUX LED L55 HF V 25830  2G11 </t>
  </si>
  <si>
    <t xml:space="preserve">DULUX LED L55 HF V 25840  2G11 </t>
  </si>
  <si>
    <t xml:space="preserve">DULUX LED F18 EM V 8830  2G10 </t>
  </si>
  <si>
    <t xml:space="preserve">DULUX LED F18 EM V 8840  2G10 </t>
  </si>
  <si>
    <t xml:space="preserve">DULUX LED F24 EM V 12830  2G10 </t>
  </si>
  <si>
    <t xml:space="preserve">DULUX LED F24 EM V 12840  2G10 </t>
  </si>
  <si>
    <t xml:space="preserve">DULUX LED F36 EM V 20830  2G10 </t>
  </si>
  <si>
    <t xml:space="preserve">DULUX LED F36 EM V 20840  2G10 </t>
  </si>
  <si>
    <t xml:space="preserve">DULUX LED T/E13 HF V 6830 GX24Q-1 </t>
  </si>
  <si>
    <t xml:space="preserve">DULUX LED T/E13 HF V 6840 GX24Q-1 </t>
  </si>
  <si>
    <t xml:space="preserve">DULUX LED T/E18 HF V 7830 GX24Q-2 </t>
  </si>
  <si>
    <t xml:space="preserve">DULUX LED T/E18 HF V 7840 GX24Q-2 </t>
  </si>
  <si>
    <t>DULUX LED T/E26 HF V 10830 GX24Q-3</t>
  </si>
  <si>
    <t>DULUX LED T/E26 HF V 10840 GX24Q-3</t>
  </si>
  <si>
    <t>DULUX LED T/E32 HF V 16830 GX24Q-3</t>
  </si>
  <si>
    <t>DULUX LED T/E32 HF V 16840 GX24Q-3</t>
  </si>
  <si>
    <t>DULUX LED T/E42 HF V 20830 GX24Q-4</t>
  </si>
  <si>
    <t>DULUX LED T/E42 HF V 20840 GX24Q-4</t>
  </si>
  <si>
    <t xml:space="preserve">DULUX LED SQ16 EM V 7830 GR8  </t>
  </si>
  <si>
    <t xml:space="preserve">DULUX LED SQ16 EM V 7835 GR8  </t>
  </si>
  <si>
    <t xml:space="preserve">DULUX LED SQ28 EM V 13830 GR8  </t>
  </si>
  <si>
    <t xml:space="preserve">DULUX LED SQ28 EM V 13835 GR8  </t>
  </si>
  <si>
    <t xml:space="preserve">DULUX LED T13 EM V 6830 GX24d-1 </t>
  </si>
  <si>
    <t xml:space="preserve">DULUX LED T13 EM V 6840 GX24d-1 </t>
  </si>
  <si>
    <t xml:space="preserve">DULUX LED T18 EM V 7830 GX24d-2 </t>
  </si>
  <si>
    <t xml:space="preserve">DULUX LED T18 EM V 7840 GX24d-2 </t>
  </si>
  <si>
    <t xml:space="preserve">DULUX LED T26 EM V 9830 GX24d-3 </t>
  </si>
  <si>
    <t xml:space="preserve">DULUX LED T26 EM V 9840 GX24d-3 </t>
  </si>
  <si>
    <t xml:space="preserve">HQL LED FIL V 1800LM 13827 E27   </t>
  </si>
  <si>
    <t xml:space="preserve">HQL LED FIL V 2000LM 13840 E27   </t>
  </si>
  <si>
    <t xml:space="preserve">HQL LED FIL V 2700LM 20827 E27   </t>
  </si>
  <si>
    <t xml:space="preserve">HQL LED FIL V 3000LM 20840 E27   </t>
  </si>
  <si>
    <t xml:space="preserve">HQL LED FIL V 3600LM 24827 E27   </t>
  </si>
  <si>
    <t xml:space="preserve">HQL LED FIL V 4000LM 24840 E27   </t>
  </si>
  <si>
    <t xml:space="preserve">HQL LED FIL V 5400LM 38827 E27   </t>
  </si>
  <si>
    <t xml:space="preserve">HQL LED FIL V 6000LM 38827 E27   </t>
  </si>
  <si>
    <t xml:space="preserve">HQL LED FIL V 5400LM 38827 E40   </t>
  </si>
  <si>
    <t xml:space="preserve">HQL LED FIL V 6000LM 38840 E40   </t>
  </si>
  <si>
    <t xml:space="preserve">HQL LED FIL V 8100LM 60827 E40  </t>
  </si>
  <si>
    <t xml:space="preserve">HQL LED FIL V 9000LM 60840 E40   </t>
  </si>
  <si>
    <t>NAV 50 LED FIL V 3600LM 21727 E27</t>
  </si>
  <si>
    <t>NAV 50 LED FIL V 4000LM 21740 E27</t>
  </si>
  <si>
    <t>NAV 70 LED FIL V 5400LM 35727 E27</t>
  </si>
  <si>
    <t>NAV 70 LED FIL V 6000LM 35740 E27</t>
  </si>
  <si>
    <t>NAV 100 LED FIL V 7000LM 41727 E40</t>
  </si>
  <si>
    <t>NAV 100 LED FIL V 7500LM 41740 E40</t>
  </si>
  <si>
    <t>NAV 50 LED FIL V 1600LM 15718 E27</t>
  </si>
  <si>
    <t>NAV 70 LED FIL V 2500LM 23718 E27</t>
  </si>
  <si>
    <t>NAV 100 LED FIL V 3200LM 30718 E40</t>
  </si>
  <si>
    <t>LED Classic A 40 Filament DIM Energy efficiency class A 2.2827 Frosted E27</t>
  </si>
  <si>
    <t>LED Classic A 40 Filament DIM Energy efficiency class A 2.2827 Clear E27</t>
  </si>
  <si>
    <t>LED Classic A 60 Filament DIM Energy efficiency class A 3.8827 Clear  E27</t>
  </si>
  <si>
    <t>LED Classic A 60 Filament DIM Energy efficiency class A 3.8827 Frosted E27</t>
  </si>
  <si>
    <t>SUPERIOR CLASS CLASSIC A 40 Filament Energy efficiency class A S 2.2827 Clear E27</t>
  </si>
  <si>
    <t>SUPERIOR CLASS CLASSIC A 40 Filament Energy efficiency class A S 2.2840 Clear E27</t>
  </si>
  <si>
    <t>SUPERIOR CLASS CLASSIC A 40  Energy efficiency class A S 2.2827 Frosted E27</t>
  </si>
  <si>
    <t>SUPERIOR CLASS CLASSIC A 40 Energy efficiency class A S 2.2840 Frosted E27</t>
  </si>
  <si>
    <t>SUPERIOR CLASS CLASSIC A 60 Filament Energy efficiency class A S 3.8827 Clear E27</t>
  </si>
  <si>
    <t>SUPERIOR CLASS CLASSIC A 60 Filament Energy efficiency class A S 3.8840 Clear E27</t>
  </si>
  <si>
    <t>SUPERIOR CLASS CLASSIC A 60  Energy efficiency class A S 3.8827 Frosted E27</t>
  </si>
  <si>
    <t>SUPERIOR CLASS CLASSIC A 60 Energy efficiency class A S 3.8840 Frosted E27</t>
  </si>
  <si>
    <t>SUPERIOR CLASS CLASSIC A 75 Filament Energy efficiency class A S 5827 Clear E27</t>
  </si>
  <si>
    <t>SUPERIOR CLASS CLASSIC A 75 Filament Energy efficiency class A S  5840 Clear E27</t>
  </si>
  <si>
    <t>SUPERIOR CLASS CLASSIC A 75  Energy efficiency class A S 5827 Frosted E27</t>
  </si>
  <si>
    <t>SUPERIOR CLASS CLASSIC A 75 Energy efficiency class A S 5840 Frosted E27</t>
  </si>
  <si>
    <t>SUPERIOR CLASS CLASSIC A 100 Filament Energy efficiency class A S 7.2827 Clear E27</t>
  </si>
  <si>
    <t>SUPERIOR CLASS CLASSIC A 100 Filament Energy efficiency class A S 7.2840 Clear E27</t>
  </si>
  <si>
    <t>SUPERIOR CLASS CLASSIC A 100  Energy efficiency class A S 7.2827 Frosted E27</t>
  </si>
  <si>
    <t>SUPERIOR CLASS CLASSIC A 100 Energy efficiency class A S 7.2840 Frosted E27</t>
  </si>
  <si>
    <t xml:space="preserve">LEDCLA150EELA 11.6827FILFR E27 S </t>
  </si>
  <si>
    <t xml:space="preserve">LEDCLA150EELA 11.6840FILFR E27 S </t>
  </si>
  <si>
    <t>SUPERIOR CLASS  Globe 95 60 Filament Energy efficiency class A S 3.8827 Clear E27</t>
  </si>
  <si>
    <t xml:space="preserve">LEDG9560EELA 3.8840 FILCL E27 S  </t>
  </si>
  <si>
    <t>SUPERIOR CLASS   Globe 95 60  Energy efficiency class A S 3.8827 Frosted E27</t>
  </si>
  <si>
    <t xml:space="preserve">LEDG9560EELA 3.8840 GLFR E27 S   </t>
  </si>
  <si>
    <t>SUPERIOR CLASS  Globe125 100  Non-Dim Enery Efficiency class A 7.2827 Frosted E27</t>
  </si>
  <si>
    <t>SUPERIOR CLASS  Globe125 100  Non-Dim Enery Efficiency class A 7.2840 Frosted E27</t>
  </si>
  <si>
    <t>SUPERIOR CLASS  Globe125 100  Non-Dim Enery Efficiency class A 7.2865 Frosted E27</t>
  </si>
  <si>
    <t>SUPERIOR CLASS  Globe125 150  Non-Dim Enery Efficiency class A 11.6840 Frosted E27</t>
  </si>
  <si>
    <t>SUPERIOR CLASS  EDISON Filament Energy efficiency class A S 3.8827 Clear E27</t>
  </si>
  <si>
    <t>SUPERIOR CLASS CLASSIC  B 25  Non-Dim Energy efficiency class A 1.2827 Frosted E14</t>
  </si>
  <si>
    <t>SUPERIOR CLASS CLASSIC B B 25 Non-Dim Energy efficiency class A 1.2840 Frosted E14</t>
  </si>
  <si>
    <t>SUPERIOR CLASS CLASSIC B 40 Filament Energy efficiency class A S 2.2827 Clear E14</t>
  </si>
  <si>
    <t>SUPERIOR CLASS CLASSIC B 40  Energy efficiency class A S 2.2827 Frosted E14</t>
  </si>
  <si>
    <t>SUPERIOR CLASS CLASSIC B 60 Filament Energy efficiency class A S 3.8827 Clear E14</t>
  </si>
  <si>
    <t>SUPERIOR CLASS CLASSIC B 60  Energy efficiency class A S 3.8827 Frosted E14</t>
  </si>
  <si>
    <t>SUPERIOR CLASS CLASSIC P 25  Non-Dim Energy efficiency class A 1.2827 Frosted E14</t>
  </si>
  <si>
    <t>SUPERIOR CLASS CLASSIC P 25  Non-Dim Energy efficiency class A 1.2840 Frosted E14</t>
  </si>
  <si>
    <t>SUPERIOR CLASS CLASSIC P 25  Non-Dim Energy efficiency class A 1.2827 Frosted E27</t>
  </si>
  <si>
    <t>SUPERIOR CLASS CLASSIC P 25  Non-Dim Energy efficiency class A 1.2840 Frosted E27</t>
  </si>
  <si>
    <t>SUPERIOR CLASS CLASSIC P 40 Filament Energy efficiency class A S 2.2827 Clear E14</t>
  </si>
  <si>
    <t>SUPERIOR CLASS CLASSIC P 40  Energy efficiency class A S 2.2827 Frosted E14</t>
  </si>
  <si>
    <t>SUPERIOR CLASS CLASSIC P 60 Filament Energy efficiency class A S 3.8827 Clear E14</t>
  </si>
  <si>
    <t>SUPERIOR CLASS CLASSIC P 60  Energy efficiency class A S 3.8827 Frosted E14</t>
  </si>
  <si>
    <t>SUPERIOR CLASS Spot LED PAR16 50 36°  Energy efficiency class A 2827 GU10</t>
  </si>
  <si>
    <t>SUPERIOR CLASS Spot LED PAR16 50 36°  Energy efficiency class A 2840 GU10</t>
  </si>
  <si>
    <t>PERFORMANCE CLASS CLASSIC BFIL 40 non-dim 4W/827 E14</t>
  </si>
  <si>
    <t>PERFORMANCE CLASS CLASSIC P GL FR  60  DIM  5.9827  E14</t>
  </si>
  <si>
    <t>Vintage 1906 Classic A 4 Filament Magnetic 1.8818 Smoke E27</t>
  </si>
  <si>
    <t xml:space="preserve">Vintage 1906 Edison 6 Filament Magnetic 2.2818 Smoke E27 </t>
  </si>
  <si>
    <t>Vintage 1906 Globe 95 6 Filament Magnetic 2.2818 Smoke E27</t>
  </si>
  <si>
    <t>Vintage 1906 Classic A 8 Filament Magnetic 1.8827 Gold E272</t>
  </si>
  <si>
    <t>Vintage 1906 Classic A 10 Filament Magnetic 1.8827 Clear E27</t>
  </si>
  <si>
    <t xml:space="preserve">Vintage 1906 Edison 12 Filament Magnetic 2.2827 Gold E272 </t>
  </si>
  <si>
    <t>Vintage 1906 Globe 95 12 Filament Magnetic 2.2827 Gold E27</t>
  </si>
  <si>
    <t>Vintage 1906 Edison 16 Filament Magnetic 2.2827 Clear E27</t>
  </si>
  <si>
    <t>Vintage 1906 Globe 95 16 Filament Magnetic 2.2827 Clear E27</t>
  </si>
  <si>
    <t xml:space="preserve">  Vintage 1906  dim Magnetic Classic Elispe P215 12 Tea BroYES 4W/818 E27</t>
  </si>
  <si>
    <t xml:space="preserve">  Vintage 1906  dim Magnetic Classic Oval W187 20 Tea BroYES 4,8W/818 E27</t>
  </si>
  <si>
    <t xml:space="preserve">  Vintage 1906  dim Magnetic Classic Elipse/Oval WG145 20 Tea BroYES 4,8W/818 E27</t>
  </si>
  <si>
    <t xml:space="preserve">  Vintage 1906  dim Magnetic Classic  Globe G200 20 Tea BroYES 4,8W/818 E27</t>
  </si>
  <si>
    <t>Vintage 1906 Edison 40 Filament DIM 4.8827 Clear E27</t>
  </si>
  <si>
    <t>Vintage 1906 Globe 95 40 Filament DIM 4.8827 Clear E27</t>
  </si>
  <si>
    <t>Vintage 1906 Globe 80 40 Filament DIM 4.8827 Clear E27</t>
  </si>
  <si>
    <t>Vintage 1906 Classic A 40 Filament DIM 4.8827 Clear E27</t>
  </si>
  <si>
    <t>Vintage 1906 Classic B 40 Filament DIM 4.8827 Clear E14</t>
  </si>
  <si>
    <t>Vintage 1906 Classic P 40 Filament DIM 4.8827 Clear E14</t>
  </si>
  <si>
    <t>Vintage 1906 Mini Edison ST 45 33 Filament DIM 4.8822 Gold E271</t>
  </si>
  <si>
    <t>Vintage 1906 LED CLASSIC BFIL GOLD 12 non-dim 1.5W/824 E14</t>
  </si>
  <si>
    <t>Vintage 1906 LED CLASSIC BFIL GOLD 22 non-dim 2.5W/824 E14</t>
  </si>
  <si>
    <t>Vintage 1906 Big Elipse 12 Filament Magnetic 2.5827 Amber E27</t>
  </si>
  <si>
    <t>Vintage 1906 Big Oval 25 Filament Magnetic 3.4827 Amber E27</t>
  </si>
  <si>
    <t>Vintage 1906 Big Elipse Oval 27 Filament Magnetic 4827 Amber E27</t>
  </si>
  <si>
    <t>Vintage 1906 Big Elipse 6 Filament Magnetic 4818 Smoke E27</t>
  </si>
  <si>
    <t>Vintage 1906 Big Oval 10 Filament Magnetic 4818 Smoke E27</t>
  </si>
  <si>
    <t>Vintage 1906 Big Elipse Oval 12 Filament Magnetic 4818 Smoke E27</t>
  </si>
  <si>
    <t>SUPERIOR CLASS Spot PAR16 80 36° dim S 8.3927 GU10</t>
  </si>
  <si>
    <t>SUPERIOR CLASS Spot PAR16 80 36° dim S 8.3930 GU10</t>
  </si>
  <si>
    <t>SUPERIOR CLASS Spot PAR16 80 36° dim S 8.3940 GU10</t>
  </si>
  <si>
    <t>PERFORMANCE CLASS SpotPAR16 80 36° DIM P 7927 GU10</t>
  </si>
  <si>
    <t>PERFORMANCE CLASS SpotPAR16 80 36° DIM P 7930 GU10</t>
  </si>
  <si>
    <t>PERFORMANCE CLASS SpotPAR16 80 36° DIM P 7940 GU10</t>
  </si>
  <si>
    <t>PERFORMANCE CLASS SpotPAR16 80 60° DIM P 7927 GU10</t>
  </si>
  <si>
    <t>PERFORMANCE CLASS SpotPAR16 80 60° DIM P 7940 GU10</t>
  </si>
  <si>
    <t>PERFORMANCE CLASS SpotPAR16 80 60° DIM P 7930 GU10</t>
  </si>
  <si>
    <t>PERFORMANCE CLASS SpotPAR16 80 120° DIM P 7927 GU10</t>
  </si>
  <si>
    <t>PERFORMANCE CLASS SpotPAR16 80 120° DIM P 7930 GU10</t>
  </si>
  <si>
    <t>PERFORMANCE CLASS SpotPAR16 80 120° DIM P 7940 GU10</t>
  </si>
  <si>
    <t>PERFORMANCE CLASS SpotPAR16 100 36° DIM P 8827 GU10</t>
  </si>
  <si>
    <t>PERFORMANCE CLASS SpotPAR16 100 36° DIM P 8830 GU10</t>
  </si>
  <si>
    <t>PERFORMANCE CLASS SpotPAR16 100 36° DIM P 7840 GU10</t>
  </si>
  <si>
    <t>PERFORMANCE CLASS Spot  MR16  50 36° DIM P  6.8927 GU5.3</t>
  </si>
  <si>
    <t>PERFORMANCE CLASS  Spot MR16  50  36° DIM P  6.8930 GU5.3</t>
  </si>
  <si>
    <t>PERFORMANCE CLASS Spot  MR16  50  36° DIM P 6.8940 GU5.3</t>
  </si>
  <si>
    <t>CLASSIC A LED SUPERSTAR+ LOVOLTAGE LAMP</t>
  </si>
  <si>
    <t>LED Special T26 25 300° Filament DIM 2.8827 Clear E14</t>
  </si>
  <si>
    <t>LED Special T26 40 300° Filament DIM 4.8827 Clear E14</t>
  </si>
  <si>
    <t>LED Special T26 55 300° Filament DIM 6.5827 Clear E14</t>
  </si>
  <si>
    <t xml:space="preserve"> PERFORMANCE CLASSS PECIAL SPECIAL T SLIM 75 320° DIM 8827 Clear B15d</t>
  </si>
  <si>
    <t xml:space="preserve"> PERFORMANCE CLASSS SPECIAL SPECIAL T SLIM 60 320° DIM 7827 Clear E14</t>
  </si>
  <si>
    <t xml:space="preserve"> PERFORMANCE CLASSS SPECIAL SPECIAL T SLIM 60 320° DIM 7.3827 Clear E27</t>
  </si>
  <si>
    <t xml:space="preserve"> PERFORMANCE CLASSS SPECIAL SPECIAL T SLIM 60 320° DIM 7827 Clear GU10</t>
  </si>
  <si>
    <t>PERFORMANCE CLASSS SPECIAL SPECIAL T SLIM 60 320° 6.5827 Clear B15d</t>
  </si>
  <si>
    <t xml:space="preserve">LED PIN40 DIM 3.8827 CL GY6.35 P </t>
  </si>
  <si>
    <t>SPECIAL PIN 20 320° 1.8827 Clear GLAS G9</t>
  </si>
  <si>
    <t>SPECIAL PIN 30 320° 2.6827 Clear GLAS G9</t>
  </si>
  <si>
    <t>PERFORMANCE CLASS SPECIAL SLIM LINE 78 CL 60 7827 R7s</t>
  </si>
  <si>
    <t>PERFORMANCE CLASS SPECIAL SLIM LINE 118 CL 100 12827 R7s</t>
  </si>
  <si>
    <t>LEDinestra DIM 30CM 27 190°  3927 FR S14d</t>
  </si>
  <si>
    <t>LEDinestra DIM 30CM 27 190°  3927 FR S14s</t>
  </si>
  <si>
    <t>LEDinestra DIM 50CM 40 190°  4.7927 FR S14d</t>
  </si>
  <si>
    <t>LEDinestra DIM 50CM 40 190°  4.7927 FR S14s</t>
  </si>
  <si>
    <t>LEDinestra DIM 100CM 75 190° 9.9927 FR S14s</t>
  </si>
  <si>
    <t>SUPERIOR CLASS CLASSIC A 60 Filament Motion Sensor S 7.3827 Clear E27</t>
  </si>
  <si>
    <t xml:space="preserve">NAV-E 50 SUPER 4Y </t>
  </si>
  <si>
    <t>NAV-E 70 SUPER 4Y</t>
  </si>
  <si>
    <t>NAV-E 100 SUPER 4Y</t>
  </si>
  <si>
    <t>NAV-E 150SUPER 4Y</t>
  </si>
  <si>
    <t>NAV-E 250 SUPER 4Y</t>
  </si>
  <si>
    <t>NAV-E 400 SUPER 4Y</t>
  </si>
  <si>
    <t>NAV-E 68 E27</t>
  </si>
  <si>
    <t>NAV-T 50SUPER 4Y</t>
  </si>
  <si>
    <t>NAV-T 70SUPER 4Y</t>
  </si>
  <si>
    <t>NAV-T 100 SUPER 4Y</t>
  </si>
  <si>
    <t>NAV-T 150 SUPER 4Y</t>
  </si>
  <si>
    <t>NAV-T 250 SUPER 4Y</t>
  </si>
  <si>
    <t>NAV-T 400 SUPER 4Y</t>
  </si>
  <si>
    <t>NAV-T 600 SUPER 4Y</t>
  </si>
  <si>
    <t>NAV-T 1000 E40</t>
  </si>
  <si>
    <t>PLANTASTAR 600 400 V E40</t>
  </si>
  <si>
    <t>HALOPIN PRO 66720 20230V G9</t>
  </si>
  <si>
    <t>HALOPIN PRO 66733 33230V G9</t>
  </si>
  <si>
    <t>HALOPIN PRO 66748 48230V G9</t>
  </si>
  <si>
    <t>HALOPIN PRO 66760 60230V G9</t>
  </si>
  <si>
    <t>HALOPIN OVEN 66725 25230V G9 Forno</t>
  </si>
  <si>
    <t>HALOPIN OVEN 66740 40230V G9 Forno</t>
  </si>
  <si>
    <t>HALOLINE PRO 64684 48230V R7s</t>
  </si>
  <si>
    <t>HALOLINE PRO 64690 80230V R7s</t>
  </si>
  <si>
    <t>HALOLINE PRO 64695 120230V R7s</t>
  </si>
  <si>
    <t>HALOLINE PRO 64696 120230V R7s</t>
  </si>
  <si>
    <t>HALOLINE 64560 750230V 191,1mm R7s</t>
  </si>
  <si>
    <t>HALOLINE 64740 1000230V 191,1mm R7s</t>
  </si>
  <si>
    <t>HALOLINE 64740 1000240V 191,1mm R7s</t>
  </si>
  <si>
    <t>HALOLINE 64760 1500230V 256,1mm R7s</t>
  </si>
  <si>
    <t>HALOLINE 64760 1500240V 256,1mm R7s</t>
  </si>
  <si>
    <t>HALOLINE 64784 2000230V 333mm R7s</t>
  </si>
  <si>
    <t>HALOSTAR PRO 64417 712V G4</t>
  </si>
  <si>
    <t>HALOSTAR PRO 64423 1412V G4</t>
  </si>
  <si>
    <t>HALOSTAR PRO 64429 2512V GY6.35</t>
  </si>
  <si>
    <t>HALOSTAR PRO 64432 3512V GY6.35</t>
  </si>
  <si>
    <t>HALOSTAR PRO 64440 5012V GY6.35</t>
  </si>
  <si>
    <t>HALOSTAR PRO 64447 6012V GY6.35</t>
  </si>
  <si>
    <t>HALOSTAR STARLITE 64405 S 512V G4</t>
  </si>
  <si>
    <t>HALOSTAR STARLITE 64415 S AX 1012V G4</t>
  </si>
  <si>
    <t>HALOSTAR STARLITE 64410 S AX 106V G4</t>
  </si>
  <si>
    <t>HALOSTAR STARLITE 64425 S AX 2012V G4</t>
  </si>
  <si>
    <t>HALOSTAR STARLITE 64427 S AX 2012V GY6.35</t>
  </si>
  <si>
    <t>HALOSTAR STARLITE 64432 S AX 3512V GY6.35</t>
  </si>
  <si>
    <t>HALOSTAR STARLITE 64440 S AX 5012V GY6.35</t>
  </si>
  <si>
    <t>HALOSTAR STARLITE 64450 S AX 7512V GY6.35</t>
  </si>
  <si>
    <t>HALOSTAR OVEN 64418 1012V G4</t>
  </si>
  <si>
    <t>SPECIAL OVEN T22/50 CL 15230V E14</t>
  </si>
  <si>
    <t>SPECIAL T 17/54 CL 15230V E14</t>
  </si>
  <si>
    <t>SPC T26/57 CL 15230V E14 frigoríficos/máq. costura</t>
  </si>
  <si>
    <t>SPC T26/57 CL 25230V E14 frigoríficos/máq. costura</t>
  </si>
  <si>
    <t>OT DMX RGBDIM</t>
  </si>
  <si>
    <t>MCU SELECT DALI-2 TLEDVANCE</t>
  </si>
  <si>
    <t>MCU SELECT DALI-2 EXC TLEDVANCE</t>
  </si>
  <si>
    <t>MCU TOUCH DALI-2 TLEDVANCE</t>
  </si>
  <si>
    <t>PCU FLUSH MOUNT DALI-2 TLEDVANCE</t>
  </si>
  <si>
    <t>FLEX CU IoT DALI-2 HCL TLEDVANCE</t>
  </si>
  <si>
    <t>FLEX CU FLUSH MOUNT DALI-2 TLEDVANCE</t>
  </si>
  <si>
    <t>FLEX CU RTC DALI-2 HCL TLEDVANCE</t>
  </si>
  <si>
    <t>FLEX CU DALI-2 TLEDVANCE</t>
  </si>
  <si>
    <t>18 / 15 / 12</t>
  </si>
  <si>
    <t>30 / 25 / 20.0</t>
  </si>
  <si>
    <t>42 / 36 / 30</t>
  </si>
  <si>
    <t>13 / 9.8 / 6.5</t>
  </si>
  <si>
    <t>16.0 / 12 / 8</t>
  </si>
  <si>
    <t>19 / 14.3 / 9.5</t>
  </si>
  <si>
    <t>25 / 18.8 / 12.5</t>
  </si>
  <si>
    <t>9.5 / 7.5</t>
  </si>
  <si>
    <t>13 / 7.5</t>
  </si>
  <si>
    <t>16.0 / 9.5</t>
  </si>
  <si>
    <t>19 / 10.5</t>
  </si>
  <si>
    <t>8.00</t>
  </si>
  <si>
    <t>16.0 / 13 / 9</t>
  </si>
  <si>
    <t>1.50</t>
  </si>
  <si>
    <t>0.60</t>
  </si>
  <si>
    <t>27.50</t>
  </si>
  <si>
    <t>27 / 23.5  / 20.0 / 16.5</t>
  </si>
  <si>
    <t>48 / 40 / 32 / 24</t>
  </si>
  <si>
    <t>28.3 / 24.0 / 21.4 / 17.3 / 14.0</t>
  </si>
  <si>
    <t>39.3 / 35.0 / 31.1 / 26.9 / 23.4 / 20.0 / 16.0</t>
  </si>
  <si>
    <t>72.2 / 63.3 / 55.2 / 47.6</t>
  </si>
  <si>
    <t>11.6</t>
  </si>
  <si>
    <t>3.8</t>
  </si>
  <si>
    <t>19/ 12</t>
  </si>
  <si>
    <t>8 / 6 / 4</t>
  </si>
  <si>
    <t>1430 / 1100 / 770</t>
  </si>
  <si>
    <t>2160 / 1800 / 1440</t>
  </si>
  <si>
    <t>3600 / 3000 / 2400</t>
  </si>
  <si>
    <t>5000 / 4200 / 3600</t>
  </si>
  <si>
    <t>800 / 600 / 400</t>
  </si>
  <si>
    <t>1300 / 980 / 650</t>
  </si>
  <si>
    <t>1600 / 1200 / 800</t>
  </si>
  <si>
    <t>1900 / 1430 / 950</t>
  </si>
  <si>
    <t>2500 / 1880 / 1250</t>
  </si>
  <si>
    <t>900 / 700</t>
  </si>
  <si>
    <t>1300 / 750</t>
  </si>
  <si>
    <t>1650 / 1000</t>
  </si>
  <si>
    <t>2000 / 1150</t>
  </si>
  <si>
    <t>2500 / 1200</t>
  </si>
  <si>
    <t>680 / 530 / 350</t>
  </si>
  <si>
    <t>1920 / 1612 / 1125</t>
  </si>
  <si>
    <t xml:space="preserve">4050 / 3525  / 3000 / 2475 </t>
  </si>
  <si>
    <t>7200 / 6000 / 4800 / 3600</t>
  </si>
  <si>
    <t>4640 / 3900 / 3460 / 2810 / 2260</t>
  </si>
  <si>
    <t>6400 / 5700 / 5070 / 4360 / 3810 / 3240 / 2590</t>
  </si>
  <si>
    <t>11680 / 10300  / 9010 / 7780</t>
  </si>
  <si>
    <t>Preço Tabela</t>
  </si>
  <si>
    <t>13 / 10 / 7</t>
  </si>
  <si>
    <t>17 / 11</t>
  </si>
  <si>
    <t xml:space="preserve">6 / 4 </t>
  </si>
  <si>
    <t xml:space="preserve">8 / 6 / 4 </t>
  </si>
  <si>
    <t>9 / 7 / 5</t>
  </si>
  <si>
    <t>8 /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</si>
</sst>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\ &quot;€&quot;"/>
    <numFmt numFmtId="165" formatCode="#,##0.00\ &quot;€&quot;"/>
  </numFmts>
  <fonts count="7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9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u/>
      <sz val="10"/>
      <color theme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2"/>
      <color theme="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rgb="FFFF0000"/>
      <name val="Calibri"/>
      <family val="2"/>
    </font>
    <font>
      <sz val="11"/>
      <color theme="1"/>
      <name val="Calibri"/>
      <family val="2"/>
    </font>
    <font>
      <b/>
      <sz val="22"/>
      <color theme="0"/>
      <name val="Calibri"/>
      <family val="2"/>
    </font>
    <font>
      <b/>
      <sz val="22"/>
      <color theme="1" tint="0.34998626667073579"/>
      <name val="Calibri"/>
      <family val="2"/>
    </font>
    <font>
      <b/>
      <sz val="10"/>
      <color theme="0"/>
      <name val="Calibri"/>
      <family val="2"/>
    </font>
    <font>
      <b/>
      <sz val="10"/>
      <color theme="1" tint="0.34998626667073579"/>
      <name val="Calibri"/>
      <family val="2"/>
    </font>
    <font>
      <sz val="10"/>
      <color theme="0"/>
      <name val="Calibri"/>
      <family val="2"/>
    </font>
    <font>
      <sz val="10"/>
      <color theme="1" tint="0.34998626667073579"/>
      <name val="Calibri"/>
      <family val="2"/>
    </font>
    <font>
      <sz val="10"/>
      <color theme="1"/>
      <name val="Calibri"/>
      <family val="2"/>
    </font>
    <font>
      <u/>
      <sz val="11"/>
      <color theme="10"/>
      <name val="Calibri"/>
      <family val="2"/>
    </font>
    <font>
      <b/>
      <sz val="10"/>
      <color theme="1"/>
      <name val="Calibri"/>
      <family val="2"/>
    </font>
    <font>
      <b/>
      <sz val="10"/>
      <color rgb="FF9ECC14"/>
      <name val="Calibri"/>
      <family val="2"/>
    </font>
    <font>
      <sz val="10"/>
      <color rgb="FF00B050"/>
      <name val="Calibri"/>
      <family val="2"/>
    </font>
    <font>
      <sz val="10"/>
      <color rgb="FF000000"/>
      <name val="Calibri"/>
      <family val="2"/>
    </font>
    <font>
      <b/>
      <sz val="10"/>
      <color theme="6" tint="0.39997558519241921"/>
      <name val="Calibri"/>
      <family val="2"/>
    </font>
    <font>
      <b/>
      <sz val="12"/>
      <color theme="9" tint="0.59999389629810485"/>
      <name val="Calibri"/>
      <family val="2"/>
    </font>
    <font>
      <sz val="10"/>
      <color theme="2" tint="-0.499984740745262"/>
      <name val="Calibri"/>
      <family val="2"/>
    </font>
    <font>
      <b/>
      <sz val="11"/>
      <color theme="0"/>
      <name val="Calibri"/>
      <family val="2"/>
    </font>
    <font>
      <strike/>
      <sz val="10"/>
      <color rgb="FFFF0000"/>
      <name val="Calibri"/>
      <family val="2"/>
    </font>
    <font>
      <b/>
      <sz val="10"/>
      <color rgb="FF000000"/>
      <name val="Calibri"/>
      <family val="2"/>
    </font>
    <font>
      <sz val="10"/>
      <color theme="1" tint="0.499984740745262"/>
      <name val="Calibri"/>
      <family val="2"/>
    </font>
    <font>
      <b/>
      <sz val="10"/>
      <color theme="2" tint="-0.499984740745262"/>
      <name val="Calibri"/>
      <family val="2"/>
    </font>
    <font>
      <b/>
      <sz val="10"/>
      <color rgb="FF00A9B2"/>
      <name val="Calibri"/>
      <family val="2"/>
    </font>
    <font>
      <b/>
      <sz val="10"/>
      <color rgb="FF00B05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0"/>
      <color rgb="FF666666"/>
      <name val="Calibri"/>
      <family val="2"/>
    </font>
    <font>
      <b/>
      <sz val="10"/>
      <color rgb="FFED7D31"/>
      <name val="Calibri"/>
      <family val="2"/>
    </font>
    <font>
      <b/>
      <sz val="11"/>
      <color theme="1"/>
      <name val="Calibri"/>
      <family val="2"/>
    </font>
    <font>
      <sz val="11"/>
      <color theme="1" tint="0.34998626667073579"/>
      <name val="Calibri"/>
      <family val="2"/>
    </font>
    <font>
      <b/>
      <sz val="11"/>
      <color rgb="FF666666"/>
      <name val="Calibri"/>
      <family val="2"/>
    </font>
    <font>
      <b/>
      <sz val="11"/>
      <color theme="5"/>
      <name val="Calibri"/>
      <family val="2"/>
    </font>
    <font>
      <b/>
      <sz val="11"/>
      <color rgb="FF00A9B2"/>
      <name val="Calibri"/>
      <family val="2"/>
    </font>
    <font>
      <b/>
      <sz val="11"/>
      <color rgb="FF9ECC14"/>
      <name val="Calibri"/>
      <family val="2"/>
    </font>
    <font>
      <sz val="8"/>
      <name val="Arial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8"/>
      <name val="Aptos Narrow"/>
      <family val="2"/>
      <scheme val="minor"/>
    </font>
    <font>
      <sz val="10"/>
      <color rgb="FF9ECC14"/>
      <name val="Calibri"/>
      <family val="2"/>
    </font>
    <font>
      <b/>
      <sz val="10"/>
      <color rgb="FF92D050"/>
      <name val="Calibri"/>
      <family val="2"/>
    </font>
    <font>
      <b/>
      <sz val="18"/>
      <color theme="0"/>
      <name val="Calibri"/>
      <family val="2"/>
    </font>
    <font>
      <b/>
      <sz val="14"/>
      <color theme="1"/>
      <name val="Calibri"/>
      <family val="2"/>
    </font>
  </fonts>
  <fills count="56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thin">
        <color rgb="FFFF6600"/>
      </right>
      <top/>
      <bottom/>
      <diagonal/>
    </border>
    <border>
      <left style="thin">
        <color rgb="FFFF6600"/>
      </left>
      <right style="thin">
        <color rgb="FFFF6600"/>
      </right>
      <top style="thin">
        <color rgb="FFFF6600"/>
      </top>
      <bottom/>
      <diagonal/>
    </border>
    <border>
      <left style="thin">
        <color rgb="FFFF6600"/>
      </left>
      <right style="thin">
        <color rgb="FFFF6600"/>
      </right>
      <top/>
      <bottom/>
      <diagonal/>
    </border>
    <border>
      <left style="thin">
        <color rgb="FFFF6600"/>
      </left>
      <right style="thin">
        <color rgb="FFFF6600"/>
      </right>
      <top/>
      <bottom style="thin">
        <color rgb="FFFF6600"/>
      </bottom>
      <diagonal/>
    </border>
    <border>
      <left style="thin">
        <color rgb="FFFF6600"/>
      </left>
      <right/>
      <top style="thin">
        <color rgb="FFFF6600"/>
      </top>
      <bottom/>
      <diagonal/>
    </border>
    <border>
      <left style="thin">
        <color rgb="FFFF6600"/>
      </left>
      <right/>
      <top/>
      <bottom/>
      <diagonal/>
    </border>
    <border>
      <left style="thin">
        <color rgb="FFFF6600"/>
      </left>
      <right/>
      <top/>
      <bottom style="thin">
        <color rgb="FFFF66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rgb="FFFF6600"/>
      </right>
      <top/>
      <bottom style="thin">
        <color rgb="FFFF6600"/>
      </bottom>
      <diagonal/>
    </border>
    <border>
      <left/>
      <right/>
      <top/>
      <bottom style="thin">
        <color rgb="FFFF6600"/>
      </bottom>
      <diagonal/>
    </border>
    <border>
      <left style="thin">
        <color rgb="FFFF6600"/>
      </left>
      <right style="thin">
        <color rgb="FFFF6600"/>
      </right>
      <top style="thin">
        <color theme="0"/>
      </top>
      <bottom/>
      <diagonal/>
    </border>
    <border>
      <left/>
      <right style="thin">
        <color rgb="FFFF6600"/>
      </right>
      <top style="thin">
        <color theme="0"/>
      </top>
      <bottom/>
      <diagonal/>
    </border>
  </borders>
  <cellStyleXfs count="11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5" fillId="0" borderId="0" applyNumberFormat="0"/>
    <xf numFmtId="0" fontId="7" fillId="0" borderId="0"/>
    <xf numFmtId="0" fontId="6" fillId="0" borderId="0"/>
    <xf numFmtId="0" fontId="6" fillId="0" borderId="0" applyNumberFormat="0"/>
    <xf numFmtId="0" fontId="8" fillId="0" borderId="0" applyNumberFormat="0" applyFill="0" applyBorder="0" applyAlignment="0" applyProtection="0">
      <alignment vertical="top"/>
      <protection locked="0"/>
    </xf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" fillId="0" borderId="0" applyNumberFormat="0"/>
    <xf numFmtId="0" fontId="6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9" fillId="5" borderId="0">
      <alignment horizontal="center" vertical="center"/>
    </xf>
    <xf numFmtId="3" fontId="10" fillId="0" borderId="0">
      <alignment horizontal="right" vertical="center"/>
    </xf>
    <xf numFmtId="49" fontId="10" fillId="0" borderId="0">
      <alignment horizontal="left" vertical="center"/>
    </xf>
    <xf numFmtId="0" fontId="3" fillId="0" borderId="0"/>
    <xf numFmtId="0" fontId="1" fillId="0" borderId="0"/>
    <xf numFmtId="44" fontId="1" fillId="0" borderId="0" applyFont="0" applyFill="0" applyBorder="0" applyAlignment="0" applyProtection="0"/>
    <xf numFmtId="0" fontId="48" fillId="6" borderId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6" fillId="9" borderId="0" applyNumberFormat="0" applyBorder="0" applyAlignment="0" applyProtection="0"/>
    <xf numFmtId="0" fontId="55" fillId="10" borderId="0" applyNumberFormat="0" applyBorder="0" applyAlignment="0" applyProtection="0"/>
    <xf numFmtId="0" fontId="55" fillId="11" borderId="0" applyNumberFormat="0" applyBorder="0" applyAlignment="0" applyProtection="0"/>
    <xf numFmtId="0" fontId="56" fillId="12" borderId="0" applyNumberFormat="0" applyBorder="0" applyAlignment="0" applyProtection="0"/>
    <xf numFmtId="0" fontId="56" fillId="13" borderId="0" applyNumberFormat="0" applyBorder="0" applyAlignment="0" applyProtection="0"/>
    <xf numFmtId="0" fontId="55" fillId="14" borderId="0" applyNumberFormat="0" applyBorder="0" applyAlignment="0" applyProtection="0"/>
    <xf numFmtId="0" fontId="55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7" borderId="0" applyNumberFormat="0" applyBorder="0" applyAlignment="0" applyProtection="0"/>
    <xf numFmtId="0" fontId="55" fillId="18" borderId="0" applyNumberFormat="0" applyBorder="0" applyAlignment="0" applyProtection="0"/>
    <xf numFmtId="0" fontId="55" fillId="19" borderId="0" applyNumberFormat="0" applyBorder="0" applyAlignment="0" applyProtection="0"/>
    <xf numFmtId="0" fontId="56" fillId="12" borderId="0" applyNumberFormat="0" applyBorder="0" applyAlignment="0" applyProtection="0"/>
    <xf numFmtId="0" fontId="56" fillId="20" borderId="0" applyNumberFormat="0" applyBorder="0" applyAlignment="0" applyProtection="0"/>
    <xf numFmtId="0" fontId="55" fillId="13" borderId="0" applyNumberFormat="0" applyBorder="0" applyAlignment="0" applyProtection="0"/>
    <xf numFmtId="0" fontId="55" fillId="10" borderId="0" applyNumberFormat="0" applyBorder="0" applyAlignment="0" applyProtection="0"/>
    <xf numFmtId="0" fontId="56" fillId="21" borderId="0" applyNumberFormat="0" applyBorder="0" applyAlignment="0" applyProtection="0"/>
    <xf numFmtId="0" fontId="56" fillId="22" borderId="0" applyNumberFormat="0" applyBorder="0" applyAlignment="0" applyProtection="0"/>
    <xf numFmtId="0" fontId="55" fillId="10" borderId="0" applyNumberFormat="0" applyBorder="0" applyAlignment="0" applyProtection="0"/>
    <xf numFmtId="0" fontId="55" fillId="23" borderId="0" applyNumberFormat="0" applyBorder="0" applyAlignment="0" applyProtection="0"/>
    <xf numFmtId="0" fontId="56" fillId="24" borderId="0" applyNumberFormat="0" applyBorder="0" applyAlignment="0" applyProtection="0"/>
    <xf numFmtId="0" fontId="56" fillId="25" borderId="0" applyNumberFormat="0" applyBorder="0" applyAlignment="0" applyProtection="0"/>
    <xf numFmtId="0" fontId="55" fillId="26" borderId="0" applyNumberFormat="0" applyBorder="0" applyAlignment="0" applyProtection="0"/>
    <xf numFmtId="0" fontId="57" fillId="24" borderId="0" applyNumberFormat="0" applyBorder="0" applyAlignment="0" applyProtection="0"/>
    <xf numFmtId="0" fontId="58" fillId="27" borderId="2" applyNumberFormat="0" applyAlignment="0" applyProtection="0"/>
    <xf numFmtId="0" fontId="59" fillId="19" borderId="3" applyNumberFormat="0" applyAlignment="0" applyProtection="0"/>
    <xf numFmtId="0" fontId="60" fillId="28" borderId="0" applyNumberFormat="0" applyBorder="0" applyAlignment="0" applyProtection="0"/>
    <xf numFmtId="0" fontId="60" fillId="29" borderId="0" applyNumberFormat="0" applyBorder="0" applyAlignment="0" applyProtection="0"/>
    <xf numFmtId="0" fontId="60" fillId="30" borderId="0" applyNumberFormat="0" applyBorder="0" applyAlignment="0" applyProtection="0"/>
    <xf numFmtId="0" fontId="56" fillId="17" borderId="0" applyNumberFormat="0" applyBorder="0" applyAlignment="0" applyProtection="0"/>
    <xf numFmtId="0" fontId="61" fillId="0" borderId="4" applyNumberFormat="0" applyFill="0" applyAlignment="0" applyProtection="0"/>
    <xf numFmtId="0" fontId="62" fillId="0" borderId="5" applyNumberFormat="0" applyFill="0" applyAlignment="0" applyProtection="0"/>
    <xf numFmtId="0" fontId="63" fillId="0" borderId="6" applyNumberFormat="0" applyFill="0" applyAlignment="0" applyProtection="0"/>
    <xf numFmtId="0" fontId="63" fillId="0" borderId="0" applyNumberFormat="0" applyFill="0" applyBorder="0" applyAlignment="0" applyProtection="0"/>
    <xf numFmtId="0" fontId="64" fillId="25" borderId="2" applyNumberFormat="0" applyAlignment="0" applyProtection="0"/>
    <xf numFmtId="0" fontId="65" fillId="0" borderId="7" applyNumberFormat="0" applyFill="0" applyAlignment="0" applyProtection="0"/>
    <xf numFmtId="0" fontId="65" fillId="25" borderId="0" applyNumberFormat="0" applyBorder="0" applyAlignment="0" applyProtection="0"/>
    <xf numFmtId="0" fontId="49" fillId="24" borderId="2" applyNumberFormat="0" applyFont="0" applyAlignment="0" applyProtection="0"/>
    <xf numFmtId="0" fontId="66" fillId="27" borderId="8" applyNumberFormat="0" applyAlignment="0" applyProtection="0"/>
    <xf numFmtId="4" fontId="49" fillId="31" borderId="2" applyNumberFormat="0" applyProtection="0">
      <alignment vertical="center"/>
    </xf>
    <xf numFmtId="4" fontId="69" fillId="32" borderId="2" applyNumberFormat="0" applyProtection="0">
      <alignment vertical="center"/>
    </xf>
    <xf numFmtId="4" fontId="49" fillId="32" borderId="2" applyNumberFormat="0" applyProtection="0">
      <alignment horizontal="left" vertical="center" indent="1"/>
    </xf>
    <xf numFmtId="0" fontId="52" fillId="31" borderId="9" applyNumberFormat="0" applyProtection="0">
      <alignment horizontal="left" vertical="top" indent="1"/>
    </xf>
    <xf numFmtId="4" fontId="49" fillId="33" borderId="2" applyNumberFormat="0" applyProtection="0">
      <alignment horizontal="left" vertical="center" indent="1"/>
    </xf>
    <xf numFmtId="4" fontId="49" fillId="34" borderId="2" applyNumberFormat="0" applyProtection="0">
      <alignment horizontal="right" vertical="center"/>
    </xf>
    <xf numFmtId="4" fontId="49" fillId="35" borderId="2" applyNumberFormat="0" applyProtection="0">
      <alignment horizontal="right" vertical="center"/>
    </xf>
    <xf numFmtId="4" fontId="49" fillId="36" borderId="10" applyNumberFormat="0" applyProtection="0">
      <alignment horizontal="right" vertical="center"/>
    </xf>
    <xf numFmtId="4" fontId="49" fillId="37" borderId="2" applyNumberFormat="0" applyProtection="0">
      <alignment horizontal="right" vertical="center"/>
    </xf>
    <xf numFmtId="4" fontId="49" fillId="38" borderId="2" applyNumberFormat="0" applyProtection="0">
      <alignment horizontal="right" vertical="center"/>
    </xf>
    <xf numFmtId="4" fontId="49" fillId="39" borderId="2" applyNumberFormat="0" applyProtection="0">
      <alignment horizontal="right" vertical="center"/>
    </xf>
    <xf numFmtId="4" fontId="49" fillId="40" borderId="2" applyNumberFormat="0" applyProtection="0">
      <alignment horizontal="right" vertical="center"/>
    </xf>
    <xf numFmtId="4" fontId="49" fillId="41" borderId="2" applyNumberFormat="0" applyProtection="0">
      <alignment horizontal="right" vertical="center"/>
    </xf>
    <xf numFmtId="4" fontId="49" fillId="42" borderId="2" applyNumberFormat="0" applyProtection="0">
      <alignment horizontal="right" vertical="center"/>
    </xf>
    <xf numFmtId="4" fontId="49" fillId="43" borderId="10" applyNumberFormat="0" applyProtection="0">
      <alignment horizontal="left" vertical="center" indent="1"/>
    </xf>
    <xf numFmtId="4" fontId="6" fillId="44" borderId="10" applyNumberFormat="0" applyProtection="0">
      <alignment horizontal="left" vertical="center" indent="1"/>
    </xf>
    <xf numFmtId="4" fontId="6" fillId="44" borderId="10" applyNumberFormat="0" applyProtection="0">
      <alignment horizontal="left" vertical="center" indent="1"/>
    </xf>
    <xf numFmtId="4" fontId="49" fillId="45" borderId="2" applyNumberFormat="0" applyProtection="0">
      <alignment horizontal="right" vertical="center"/>
    </xf>
    <xf numFmtId="4" fontId="49" fillId="46" borderId="10" applyNumberFormat="0" applyProtection="0">
      <alignment horizontal="left" vertical="center" indent="1"/>
    </xf>
    <xf numFmtId="4" fontId="49" fillId="45" borderId="10" applyNumberFormat="0" applyProtection="0">
      <alignment horizontal="left" vertical="center" indent="1"/>
    </xf>
    <xf numFmtId="0" fontId="49" fillId="47" borderId="2" applyNumberFormat="0" applyProtection="0">
      <alignment horizontal="left" vertical="center" indent="1"/>
    </xf>
    <xf numFmtId="0" fontId="49" fillId="44" borderId="9" applyNumberFormat="0" applyProtection="0">
      <alignment horizontal="left" vertical="top" indent="1"/>
    </xf>
    <xf numFmtId="0" fontId="49" fillId="48" borderId="2" applyNumberFormat="0" applyProtection="0">
      <alignment horizontal="left" vertical="center" indent="1"/>
    </xf>
    <xf numFmtId="0" fontId="49" fillId="45" borderId="9" applyNumberFormat="0" applyProtection="0">
      <alignment horizontal="left" vertical="top" indent="1"/>
    </xf>
    <xf numFmtId="0" fontId="49" fillId="49" borderId="2" applyNumberFormat="0" applyProtection="0">
      <alignment horizontal="left" vertical="center" indent="1"/>
    </xf>
    <xf numFmtId="0" fontId="49" fillId="49" borderId="9" applyNumberFormat="0" applyProtection="0">
      <alignment horizontal="left" vertical="top" indent="1"/>
    </xf>
    <xf numFmtId="0" fontId="49" fillId="46" borderId="2" applyNumberFormat="0" applyProtection="0">
      <alignment horizontal="left" vertical="center" indent="1"/>
    </xf>
    <xf numFmtId="0" fontId="49" fillId="46" borderId="9" applyNumberFormat="0" applyProtection="0">
      <alignment horizontal="left" vertical="top" indent="1"/>
    </xf>
    <xf numFmtId="0" fontId="49" fillId="50" borderId="11" applyNumberFormat="0">
      <protection locked="0"/>
    </xf>
    <xf numFmtId="0" fontId="50" fillId="44" borderId="12" applyBorder="0"/>
    <xf numFmtId="4" fontId="51" fillId="51" borderId="9" applyNumberFormat="0" applyProtection="0">
      <alignment vertical="center"/>
    </xf>
    <xf numFmtId="4" fontId="69" fillId="52" borderId="13" applyNumberFormat="0" applyProtection="0">
      <alignment vertical="center"/>
    </xf>
    <xf numFmtId="4" fontId="51" fillId="47" borderId="9" applyNumberFormat="0" applyProtection="0">
      <alignment horizontal="left" vertical="center" indent="1"/>
    </xf>
    <xf numFmtId="0" fontId="51" fillId="51" borderId="9" applyNumberFormat="0" applyProtection="0">
      <alignment horizontal="left" vertical="top" indent="1"/>
    </xf>
    <xf numFmtId="4" fontId="49" fillId="0" borderId="2" applyNumberFormat="0" applyProtection="0">
      <alignment horizontal="right" vertical="center"/>
    </xf>
    <xf numFmtId="4" fontId="69" fillId="53" borderId="2" applyNumberFormat="0" applyProtection="0">
      <alignment horizontal="right" vertical="center"/>
    </xf>
    <xf numFmtId="4" fontId="49" fillId="33" borderId="2" applyNumberFormat="0" applyProtection="0">
      <alignment horizontal="left" vertical="center" indent="1"/>
    </xf>
    <xf numFmtId="0" fontId="51" fillId="45" borderId="9" applyNumberFormat="0" applyProtection="0">
      <alignment horizontal="left" vertical="top" indent="1"/>
    </xf>
    <xf numFmtId="4" fontId="53" fillId="54" borderId="10" applyNumberFormat="0" applyProtection="0">
      <alignment horizontal="left" vertical="center" indent="1"/>
    </xf>
    <xf numFmtId="0" fontId="49" fillId="55" borderId="13"/>
    <xf numFmtId="4" fontId="54" fillId="50" borderId="2" applyNumberFormat="0" applyProtection="0">
      <alignment horizontal="right" vertical="center"/>
    </xf>
    <xf numFmtId="0" fontId="67" fillId="0" borderId="0" applyNumberFormat="0" applyFill="0" applyBorder="0" applyAlignment="0" applyProtection="0"/>
    <xf numFmtId="0" fontId="60" fillId="0" borderId="14" applyNumberFormat="0" applyFill="0" applyAlignment="0" applyProtection="0"/>
    <xf numFmtId="0" fontId="68" fillId="0" borderId="0" applyNumberFormat="0" applyFill="0" applyBorder="0" applyAlignment="0" applyProtection="0"/>
  </cellStyleXfs>
  <cellXfs count="210">
    <xf numFmtId="0" fontId="0" fillId="0" borderId="0" xfId="0"/>
    <xf numFmtId="0" fontId="11" fillId="2" borderId="1" xfId="0" applyFont="1" applyFill="1" applyBorder="1" applyAlignment="1">
      <alignment horizontal="center" vertical="center" wrapText="1"/>
    </xf>
    <xf numFmtId="1" fontId="12" fillId="0" borderId="0" xfId="0" applyNumberFormat="1" applyFont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1" fontId="12" fillId="0" borderId="0" xfId="0" applyNumberFormat="1" applyFont="1" applyAlignment="1">
      <alignment horizontal="center"/>
    </xf>
    <xf numFmtId="1" fontId="12" fillId="0" borderId="0" xfId="0" applyNumberFormat="1" applyFont="1" applyAlignment="1">
      <alignment vertical="center"/>
    </xf>
    <xf numFmtId="1" fontId="14" fillId="0" borderId="0" xfId="0" applyNumberFormat="1" applyFont="1" applyAlignment="1">
      <alignment horizontal="center" vertical="center"/>
    </xf>
    <xf numFmtId="0" fontId="15" fillId="0" borderId="0" xfId="0" applyFont="1"/>
    <xf numFmtId="49" fontId="16" fillId="2" borderId="0" xfId="0" applyNumberFormat="1" applyFont="1" applyFill="1" applyAlignment="1">
      <alignment horizontal="left" vertical="center"/>
    </xf>
    <xf numFmtId="164" fontId="16" fillId="2" borderId="0" xfId="0" applyNumberFormat="1" applyFont="1" applyFill="1" applyAlignment="1">
      <alignment horizontal="center" vertical="center"/>
    </xf>
    <xf numFmtId="164" fontId="16" fillId="2" borderId="0" xfId="0" applyNumberFormat="1" applyFont="1" applyFill="1" applyAlignment="1">
      <alignment vertical="center"/>
    </xf>
    <xf numFmtId="0" fontId="18" fillId="2" borderId="0" xfId="0" applyFont="1" applyFill="1" applyAlignment="1">
      <alignment horizontal="center" vertical="center" wrapText="1"/>
    </xf>
    <xf numFmtId="1" fontId="20" fillId="2" borderId="0" xfId="0" applyNumberFormat="1" applyFont="1" applyFill="1" applyAlignment="1">
      <alignment horizontal="center" vertical="center"/>
    </xf>
    <xf numFmtId="1" fontId="22" fillId="0" borderId="0" xfId="0" applyNumberFormat="1" applyFont="1" applyAlignment="1">
      <alignment vertical="center"/>
    </xf>
    <xf numFmtId="1" fontId="23" fillId="0" borderId="0" xfId="2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 wrapText="1"/>
    </xf>
    <xf numFmtId="0" fontId="18" fillId="2" borderId="0" xfId="0" applyFont="1" applyFill="1" applyAlignment="1">
      <alignment horizontal="left" vertical="center"/>
    </xf>
    <xf numFmtId="1" fontId="20" fillId="2" borderId="0" xfId="0" applyNumberFormat="1" applyFont="1" applyFill="1" applyAlignment="1">
      <alignment horizontal="left" vertical="center"/>
    </xf>
    <xf numFmtId="0" fontId="15" fillId="0" borderId="0" xfId="0" applyFont="1" applyAlignment="1">
      <alignment horizontal="left"/>
    </xf>
    <xf numFmtId="1" fontId="20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1" fontId="22" fillId="0" borderId="0" xfId="0" applyNumberFormat="1" applyFont="1" applyAlignment="1">
      <alignment horizontal="left" vertical="center"/>
    </xf>
    <xf numFmtId="1" fontId="30" fillId="0" borderId="0" xfId="0" applyNumberFormat="1" applyFont="1" applyAlignment="1">
      <alignment horizontal="center" vertical="center"/>
    </xf>
    <xf numFmtId="1" fontId="22" fillId="2" borderId="0" xfId="0" applyNumberFormat="1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1" fontId="37" fillId="0" borderId="0" xfId="0" applyNumberFormat="1" applyFont="1" applyAlignment="1">
      <alignment horizontal="center" vertical="center"/>
    </xf>
    <xf numFmtId="1" fontId="18" fillId="2" borderId="0" xfId="0" applyNumberFormat="1" applyFont="1" applyFill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8" fillId="0" borderId="0" xfId="0" applyFont="1" applyAlignment="1">
      <alignment horizontal="center"/>
    </xf>
    <xf numFmtId="0" fontId="39" fillId="0" borderId="0" xfId="0" applyFont="1"/>
    <xf numFmtId="1" fontId="22" fillId="4" borderId="0" xfId="0" applyNumberFormat="1" applyFont="1" applyFill="1" applyAlignment="1">
      <alignment horizontal="center" vertical="center"/>
    </xf>
    <xf numFmtId="0" fontId="22" fillId="0" borderId="0" xfId="0" applyFont="1" applyAlignment="1">
      <alignment vertical="center"/>
    </xf>
    <xf numFmtId="44" fontId="25" fillId="0" borderId="0" xfId="1" applyFont="1" applyFill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8" fillId="2" borderId="0" xfId="0" applyFont="1" applyFill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2" fontId="46" fillId="0" borderId="0" xfId="0" applyNumberFormat="1" applyFont="1" applyAlignment="1">
      <alignment horizontal="center"/>
    </xf>
    <xf numFmtId="2" fontId="47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horizontal="center"/>
    </xf>
    <xf numFmtId="1" fontId="23" fillId="2" borderId="0" xfId="2" applyNumberFormat="1" applyFont="1" applyFill="1" applyBorder="1" applyAlignment="1">
      <alignment horizontal="center" vertical="center"/>
    </xf>
    <xf numFmtId="0" fontId="23" fillId="0" borderId="0" xfId="2" applyFont="1" applyBorder="1" applyAlignment="1">
      <alignment horizontal="center" vertical="center"/>
    </xf>
    <xf numFmtId="1" fontId="12" fillId="4" borderId="0" xfId="0" applyNumberFormat="1" applyFont="1" applyFill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4" fontId="17" fillId="2" borderId="0" xfId="0" applyNumberFormat="1" applyFont="1" applyFill="1" applyAlignment="1">
      <alignment horizontal="left" vertical="center"/>
    </xf>
    <xf numFmtId="1" fontId="21" fillId="2" borderId="0" xfId="0" applyNumberFormat="1" applyFont="1" applyFill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1" fontId="19" fillId="2" borderId="0" xfId="0" applyNumberFormat="1" applyFont="1" applyFill="1" applyAlignment="1">
      <alignment horizontal="left" vertical="center"/>
    </xf>
    <xf numFmtId="0" fontId="21" fillId="2" borderId="0" xfId="0" applyFont="1" applyFill="1" applyAlignment="1" applyProtection="1">
      <alignment horizontal="left" vertical="center"/>
      <protection locked="0"/>
    </xf>
    <xf numFmtId="1" fontId="21" fillId="0" borderId="0" xfId="0" applyNumberFormat="1" applyFont="1" applyAlignment="1">
      <alignment horizontal="left" vertical="center"/>
    </xf>
    <xf numFmtId="0" fontId="43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1" fontId="39" fillId="0" borderId="0" xfId="2" applyNumberFormat="1" applyFont="1" applyBorder="1" applyAlignment="1">
      <alignment horizontal="center" vertical="center"/>
    </xf>
    <xf numFmtId="1" fontId="12" fillId="0" borderId="0" xfId="0" applyNumberFormat="1" applyFont="1" applyAlignment="1">
      <alignment horizontal="center" vertical="center" wrapText="1"/>
    </xf>
    <xf numFmtId="1" fontId="12" fillId="0" borderId="0" xfId="0" applyNumberFormat="1" applyFont="1" applyAlignment="1" applyProtection="1">
      <alignment horizontal="center" vertical="center"/>
      <protection locked="0"/>
    </xf>
    <xf numFmtId="0" fontId="15" fillId="0" borderId="15" xfId="0" applyFont="1" applyBorder="1"/>
    <xf numFmtId="1" fontId="20" fillId="2" borderId="17" xfId="0" applyNumberFormat="1" applyFont="1" applyFill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20" fillId="2" borderId="20" xfId="0" applyFont="1" applyFill="1" applyBorder="1" applyAlignment="1">
      <alignment horizontal="center" vertical="center"/>
    </xf>
    <xf numFmtId="1" fontId="20" fillId="2" borderId="20" xfId="0" applyNumberFormat="1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vertical="center"/>
    </xf>
    <xf numFmtId="2" fontId="12" fillId="0" borderId="17" xfId="0" applyNumberFormat="1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1" fontId="12" fillId="0" borderId="17" xfId="0" applyNumberFormat="1" applyFont="1" applyBorder="1" applyAlignment="1">
      <alignment horizontal="left" vertical="center" wrapText="1"/>
    </xf>
    <xf numFmtId="0" fontId="18" fillId="2" borderId="17" xfId="0" applyFont="1" applyFill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31" fillId="2" borderId="17" xfId="0" applyFont="1" applyFill="1" applyBorder="1" applyAlignment="1">
      <alignment vertical="center"/>
    </xf>
    <xf numFmtId="0" fontId="11" fillId="2" borderId="17" xfId="0" applyFont="1" applyFill="1" applyBorder="1" applyAlignment="1">
      <alignment vertical="center"/>
    </xf>
    <xf numFmtId="1" fontId="12" fillId="0" borderId="17" xfId="0" applyNumberFormat="1" applyFont="1" applyBorder="1" applyAlignment="1">
      <alignment horizontal="left" vertical="center"/>
    </xf>
    <xf numFmtId="0" fontId="12" fillId="0" borderId="17" xfId="0" applyFont="1" applyBorder="1"/>
    <xf numFmtId="0" fontId="18" fillId="2" borderId="17" xfId="3" applyFont="1" applyFill="1" applyBorder="1" applyAlignment="1">
      <alignment horizontal="left" vertical="center"/>
    </xf>
    <xf numFmtId="1" fontId="18" fillId="2" borderId="17" xfId="0" applyNumberFormat="1" applyFont="1" applyFill="1" applyBorder="1" applyAlignment="1">
      <alignment horizontal="left" vertical="center"/>
    </xf>
    <xf numFmtId="0" fontId="12" fillId="0" borderId="17" xfId="0" applyFont="1" applyBorder="1" applyAlignment="1">
      <alignment vertical="top"/>
    </xf>
    <xf numFmtId="0" fontId="12" fillId="0" borderId="17" xfId="0" applyFont="1" applyBorder="1" applyAlignment="1">
      <alignment vertical="center" wrapText="1"/>
    </xf>
    <xf numFmtId="0" fontId="12" fillId="0" borderId="18" xfId="0" applyFont="1" applyBorder="1" applyAlignment="1">
      <alignment vertical="center"/>
    </xf>
    <xf numFmtId="1" fontId="22" fillId="0" borderId="20" xfId="0" applyNumberFormat="1" applyFont="1" applyBorder="1" applyAlignment="1">
      <alignment horizontal="center" vertical="center"/>
    </xf>
    <xf numFmtId="1" fontId="22" fillId="0" borderId="15" xfId="0" applyNumberFormat="1" applyFont="1" applyBorder="1" applyAlignment="1">
      <alignment vertical="center"/>
    </xf>
    <xf numFmtId="1" fontId="20" fillId="2" borderId="15" xfId="0" applyNumberFormat="1" applyFont="1" applyFill="1" applyBorder="1" applyAlignment="1">
      <alignment horizontal="center" vertical="center"/>
    </xf>
    <xf numFmtId="0" fontId="0" fillId="0" borderId="15" xfId="0" applyBorder="1"/>
    <xf numFmtId="1" fontId="12" fillId="0" borderId="20" xfId="0" applyNumberFormat="1" applyFont="1" applyBorder="1" applyAlignment="1">
      <alignment horizontal="left" vertical="center" wrapText="1"/>
    </xf>
    <xf numFmtId="1" fontId="12" fillId="0" borderId="15" xfId="0" applyNumberFormat="1" applyFont="1" applyBorder="1" applyAlignment="1">
      <alignment horizontal="left" vertical="center" wrapText="1"/>
    </xf>
    <xf numFmtId="1" fontId="27" fillId="0" borderId="20" xfId="0" applyNumberFormat="1" applyFont="1" applyBorder="1" applyAlignment="1">
      <alignment horizontal="center" vertical="center" wrapText="1"/>
    </xf>
    <xf numFmtId="1" fontId="27" fillId="0" borderId="15" xfId="0" applyNumberFormat="1" applyFont="1" applyBorder="1" applyAlignment="1">
      <alignment horizontal="center" vertical="center" wrapText="1"/>
    </xf>
    <xf numFmtId="1" fontId="20" fillId="2" borderId="15" xfId="0" applyNumberFormat="1" applyFont="1" applyFill="1" applyBorder="1" applyAlignment="1">
      <alignment horizontal="left" vertical="center"/>
    </xf>
    <xf numFmtId="0" fontId="15" fillId="0" borderId="20" xfId="0" applyFont="1" applyBorder="1" applyAlignment="1">
      <alignment horizontal="center"/>
    </xf>
    <xf numFmtId="0" fontId="15" fillId="0" borderId="15" xfId="0" applyFont="1" applyBorder="1" applyAlignment="1">
      <alignment horizontal="left"/>
    </xf>
    <xf numFmtId="1" fontId="30" fillId="3" borderId="20" xfId="0" applyNumberFormat="1" applyFont="1" applyFill="1" applyBorder="1" applyAlignment="1">
      <alignment horizontal="center" vertical="center"/>
    </xf>
    <xf numFmtId="1" fontId="30" fillId="3" borderId="15" xfId="0" applyNumberFormat="1" applyFont="1" applyFill="1" applyBorder="1" applyAlignment="1">
      <alignment horizontal="left" vertical="center"/>
    </xf>
    <xf numFmtId="1" fontId="20" fillId="0" borderId="20" xfId="0" applyNumberFormat="1" applyFont="1" applyBorder="1" applyAlignment="1">
      <alignment horizontal="center" vertical="center"/>
    </xf>
    <xf numFmtId="1" fontId="20" fillId="0" borderId="15" xfId="0" applyNumberFormat="1" applyFont="1" applyBorder="1" applyAlignment="1">
      <alignment horizontal="center" vertical="center"/>
    </xf>
    <xf numFmtId="1" fontId="14" fillId="0" borderId="20" xfId="0" applyNumberFormat="1" applyFont="1" applyBorder="1" applyAlignment="1">
      <alignment horizontal="center" vertical="center"/>
    </xf>
    <xf numFmtId="1" fontId="14" fillId="0" borderId="15" xfId="0" applyNumberFormat="1" applyFont="1" applyBorder="1" applyAlignment="1">
      <alignment horizontal="center" vertical="center"/>
    </xf>
    <xf numFmtId="1" fontId="22" fillId="0" borderId="15" xfId="0" applyNumberFormat="1" applyFont="1" applyBorder="1" applyAlignment="1">
      <alignment horizontal="center" vertical="center"/>
    </xf>
    <xf numFmtId="0" fontId="30" fillId="3" borderId="15" xfId="0" applyFont="1" applyFill="1" applyBorder="1" applyAlignment="1">
      <alignment horizontal="left" vertical="center"/>
    </xf>
    <xf numFmtId="1" fontId="12" fillId="0" borderId="20" xfId="0" applyNumberFormat="1" applyFont="1" applyBorder="1" applyAlignment="1">
      <alignment horizontal="center" vertical="center"/>
    </xf>
    <xf numFmtId="1" fontId="12" fillId="0" borderId="15" xfId="0" applyNumberFormat="1" applyFont="1" applyBorder="1" applyAlignment="1">
      <alignment horizontal="center" vertical="center"/>
    </xf>
    <xf numFmtId="0" fontId="2" fillId="0" borderId="15" xfId="2" applyBorder="1"/>
    <xf numFmtId="1" fontId="4" fillId="0" borderId="20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1" fontId="32" fillId="0" borderId="20" xfId="0" applyNumberFormat="1" applyFont="1" applyBorder="1" applyAlignment="1">
      <alignment horizontal="center" vertical="center"/>
    </xf>
    <xf numFmtId="1" fontId="32" fillId="0" borderId="15" xfId="0" applyNumberFormat="1" applyFont="1" applyBorder="1" applyAlignment="1">
      <alignment horizontal="center" vertical="center"/>
    </xf>
    <xf numFmtId="1" fontId="33" fillId="0" borderId="20" xfId="0" applyNumberFormat="1" applyFont="1" applyBorder="1" applyAlignment="1">
      <alignment horizontal="center" vertical="center" wrapText="1"/>
    </xf>
    <xf numFmtId="1" fontId="22" fillId="0" borderId="15" xfId="0" applyNumberFormat="1" applyFont="1" applyBorder="1"/>
    <xf numFmtId="0" fontId="24" fillId="0" borderId="15" xfId="0" applyFont="1" applyBorder="1"/>
    <xf numFmtId="1" fontId="20" fillId="2" borderId="15" xfId="0" applyNumberFormat="1" applyFont="1" applyFill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1" fontId="34" fillId="3" borderId="20" xfId="0" applyNumberFormat="1" applyFont="1" applyFill="1" applyBorder="1" applyAlignment="1">
      <alignment horizontal="center" vertical="center" wrapText="1"/>
    </xf>
    <xf numFmtId="1" fontId="34" fillId="3" borderId="15" xfId="0" applyNumberFormat="1" applyFont="1" applyFill="1" applyBorder="1" applyAlignment="1">
      <alignment horizontal="left" vertical="center" wrapText="1"/>
    </xf>
    <xf numFmtId="1" fontId="30" fillId="0" borderId="20" xfId="0" applyNumberFormat="1" applyFont="1" applyBorder="1" applyAlignment="1">
      <alignment horizontal="center" vertical="center"/>
    </xf>
    <xf numFmtId="1" fontId="30" fillId="0" borderId="15" xfId="0" applyNumberFormat="1" applyFont="1" applyBorder="1" applyAlignment="1">
      <alignment horizontal="center" vertical="center"/>
    </xf>
    <xf numFmtId="1" fontId="22" fillId="2" borderId="20" xfId="0" applyNumberFormat="1" applyFont="1" applyFill="1" applyBorder="1" applyAlignment="1">
      <alignment horizontal="center" vertical="center"/>
    </xf>
    <xf numFmtId="1" fontId="22" fillId="2" borderId="15" xfId="0" applyNumberFormat="1" applyFont="1" applyFill="1" applyBorder="1" applyAlignment="1">
      <alignment vertical="center"/>
    </xf>
    <xf numFmtId="0" fontId="22" fillId="2" borderId="20" xfId="0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vertical="center"/>
    </xf>
    <xf numFmtId="1" fontId="22" fillId="0" borderId="20" xfId="0" applyNumberFormat="1" applyFont="1" applyBorder="1" applyAlignment="1" applyProtection="1">
      <alignment horizontal="center" vertical="center"/>
      <protection locked="0"/>
    </xf>
    <xf numFmtId="1" fontId="22" fillId="0" borderId="15" xfId="0" applyNumberFormat="1" applyFont="1" applyBorder="1" applyAlignment="1" applyProtection="1">
      <alignment horizontal="right" vertical="center"/>
      <protection locked="0"/>
    </xf>
    <xf numFmtId="1" fontId="22" fillId="0" borderId="15" xfId="0" applyNumberFormat="1" applyFont="1" applyBorder="1" applyAlignment="1" applyProtection="1">
      <alignment horizontal="center" vertical="center"/>
      <protection locked="0"/>
    </xf>
    <xf numFmtId="1" fontId="12" fillId="0" borderId="15" xfId="0" applyNumberFormat="1" applyFont="1" applyBorder="1" applyAlignment="1">
      <alignment vertical="center"/>
    </xf>
    <xf numFmtId="0" fontId="35" fillId="2" borderId="20" xfId="3" applyFont="1" applyFill="1" applyBorder="1" applyAlignment="1">
      <alignment horizontal="center" vertical="center"/>
    </xf>
    <xf numFmtId="1" fontId="30" fillId="2" borderId="15" xfId="0" applyNumberFormat="1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1" fontId="37" fillId="0" borderId="15" xfId="0" applyNumberFormat="1" applyFont="1" applyBorder="1" applyAlignment="1">
      <alignment horizontal="center" vertical="center"/>
    </xf>
    <xf numFmtId="1" fontId="18" fillId="2" borderId="15" xfId="0" applyNumberFormat="1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left" vertical="center"/>
    </xf>
    <xf numFmtId="1" fontId="37" fillId="0" borderId="20" xfId="0" applyNumberFormat="1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/>
    </xf>
    <xf numFmtId="0" fontId="38" fillId="0" borderId="15" xfId="0" applyFont="1" applyBorder="1" applyAlignment="1">
      <alignment horizontal="center"/>
    </xf>
    <xf numFmtId="1" fontId="18" fillId="2" borderId="20" xfId="0" applyNumberFormat="1" applyFont="1" applyFill="1" applyBorder="1" applyAlignment="1">
      <alignment horizontal="center" vertical="center"/>
    </xf>
    <xf numFmtId="1" fontId="30" fillId="2" borderId="20" xfId="0" applyNumberFormat="1" applyFont="1" applyFill="1" applyBorder="1" applyAlignment="1">
      <alignment horizontal="center" vertical="center"/>
    </xf>
    <xf numFmtId="1" fontId="30" fillId="2" borderId="15" xfId="0" applyNumberFormat="1" applyFont="1" applyFill="1" applyBorder="1" applyAlignment="1">
      <alignment horizontal="left" vertical="center"/>
    </xf>
    <xf numFmtId="0" fontId="20" fillId="2" borderId="20" xfId="0" applyFont="1" applyFill="1" applyBorder="1" applyAlignment="1" applyProtection="1">
      <alignment horizontal="center" vertical="center"/>
      <protection locked="0"/>
    </xf>
    <xf numFmtId="0" fontId="20" fillId="2" borderId="15" xfId="0" applyFont="1" applyFill="1" applyBorder="1" applyAlignment="1" applyProtection="1">
      <alignment horizontal="center" vertical="center"/>
      <protection locked="0"/>
    </xf>
    <xf numFmtId="1" fontId="22" fillId="0" borderId="20" xfId="0" applyNumberFormat="1" applyFont="1" applyBorder="1" applyAlignment="1">
      <alignment horizontal="center"/>
    </xf>
    <xf numFmtId="1" fontId="12" fillId="0" borderId="20" xfId="0" applyNumberFormat="1" applyFont="1" applyBorder="1" applyAlignment="1">
      <alignment horizontal="center"/>
    </xf>
    <xf numFmtId="1" fontId="12" fillId="0" borderId="15" xfId="0" applyNumberFormat="1" applyFont="1" applyBorder="1"/>
    <xf numFmtId="1" fontId="22" fillId="0" borderId="15" xfId="0" applyNumberFormat="1" applyFont="1" applyBorder="1" applyAlignment="1">
      <alignment horizontal="left"/>
    </xf>
    <xf numFmtId="0" fontId="42" fillId="0" borderId="20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left" vertical="center"/>
    </xf>
    <xf numFmtId="1" fontId="12" fillId="0" borderId="21" xfId="0" applyNumberFormat="1" applyFont="1" applyBorder="1" applyAlignment="1">
      <alignment horizontal="center" vertical="center"/>
    </xf>
    <xf numFmtId="1" fontId="12" fillId="0" borderId="23" xfId="0" applyNumberFormat="1" applyFont="1" applyBorder="1" applyAlignment="1">
      <alignment vertical="center"/>
    </xf>
    <xf numFmtId="1" fontId="12" fillId="0" borderId="18" xfId="0" applyNumberFormat="1" applyFont="1" applyBorder="1" applyAlignment="1">
      <alignment horizontal="center" vertical="center"/>
    </xf>
    <xf numFmtId="1" fontId="22" fillId="4" borderId="21" xfId="0" applyNumberFormat="1" applyFont="1" applyFill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23" fillId="0" borderId="17" xfId="2" applyFont="1" applyBorder="1" applyAlignment="1">
      <alignment horizontal="center"/>
    </xf>
    <xf numFmtId="1" fontId="23" fillId="2" borderId="17" xfId="2" applyNumberFormat="1" applyFont="1" applyFill="1" applyBorder="1" applyAlignment="1">
      <alignment horizontal="center" vertical="center"/>
    </xf>
    <xf numFmtId="1" fontId="23" fillId="0" borderId="17" xfId="2" applyNumberFormat="1" applyFont="1" applyBorder="1" applyAlignment="1">
      <alignment horizontal="center" vertical="center"/>
    </xf>
    <xf numFmtId="0" fontId="23" fillId="2" borderId="17" xfId="2" applyFont="1" applyFill="1" applyBorder="1" applyAlignment="1">
      <alignment horizontal="center" vertical="center" wrapText="1"/>
    </xf>
    <xf numFmtId="0" fontId="23" fillId="2" borderId="17" xfId="2" applyFont="1" applyFill="1" applyBorder="1" applyAlignment="1">
      <alignment horizontal="center" vertical="center"/>
    </xf>
    <xf numFmtId="0" fontId="23" fillId="4" borderId="17" xfId="2" applyFont="1" applyFill="1" applyBorder="1" applyAlignment="1">
      <alignment horizontal="center"/>
    </xf>
    <xf numFmtId="0" fontId="23" fillId="4" borderId="18" xfId="2" applyFont="1" applyFill="1" applyBorder="1" applyAlignment="1">
      <alignment horizontal="center"/>
    </xf>
    <xf numFmtId="0" fontId="15" fillId="0" borderId="17" xfId="0" applyFont="1" applyBorder="1" applyAlignment="1">
      <alignment horizontal="center" vertical="center"/>
    </xf>
    <xf numFmtId="1" fontId="39" fillId="0" borderId="17" xfId="2" applyNumberFormat="1" applyFont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39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1" fontId="20" fillId="2" borderId="19" xfId="0" applyNumberFormat="1" applyFont="1" applyFill="1" applyBorder="1" applyAlignment="1">
      <alignment horizontal="center" vertical="center"/>
    </xf>
    <xf numFmtId="165" fontId="25" fillId="0" borderId="20" xfId="0" applyNumberFormat="1" applyFont="1" applyBorder="1" applyAlignment="1" applyProtection="1">
      <alignment horizontal="center" vertical="center"/>
      <protection locked="0"/>
    </xf>
    <xf numFmtId="165" fontId="71" fillId="0" borderId="20" xfId="0" applyNumberFormat="1" applyFont="1" applyBorder="1" applyAlignment="1" applyProtection="1">
      <alignment horizontal="center" vertical="center"/>
      <protection locked="0"/>
    </xf>
    <xf numFmtId="165" fontId="25" fillId="2" borderId="20" xfId="0" applyNumberFormat="1" applyFont="1" applyFill="1" applyBorder="1" applyAlignment="1" applyProtection="1">
      <alignment horizontal="center" vertical="center"/>
      <protection locked="0"/>
    </xf>
    <xf numFmtId="1" fontId="72" fillId="0" borderId="20" xfId="0" applyNumberFormat="1" applyFont="1" applyBorder="1" applyAlignment="1">
      <alignment horizontal="center" vertical="center"/>
    </xf>
    <xf numFmtId="2" fontId="36" fillId="0" borderId="20" xfId="0" applyNumberFormat="1" applyFont="1" applyBorder="1" applyAlignment="1">
      <alignment horizontal="center" vertical="center"/>
    </xf>
    <xf numFmtId="44" fontId="40" fillId="0" borderId="20" xfId="1" applyFont="1" applyFill="1" applyBorder="1" applyAlignment="1">
      <alignment horizontal="center" vertical="center"/>
    </xf>
    <xf numFmtId="44" fontId="41" fillId="0" borderId="20" xfId="1" applyFont="1" applyFill="1" applyBorder="1" applyAlignment="1">
      <alignment horizontal="center" vertical="center"/>
    </xf>
    <xf numFmtId="44" fontId="25" fillId="0" borderId="20" xfId="1" applyFont="1" applyFill="1" applyBorder="1" applyAlignment="1">
      <alignment horizontal="center" vertical="center"/>
    </xf>
    <xf numFmtId="44" fontId="25" fillId="0" borderId="21" xfId="1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1" fontId="30" fillId="2" borderId="0" xfId="0" applyNumberFormat="1" applyFont="1" applyFill="1" applyAlignment="1">
      <alignment horizontal="center" vertical="center"/>
    </xf>
    <xf numFmtId="0" fontId="73" fillId="2" borderId="17" xfId="0" applyFont="1" applyFill="1" applyBorder="1" applyAlignment="1">
      <alignment vertical="center"/>
    </xf>
    <xf numFmtId="0" fontId="73" fillId="2" borderId="17" xfId="3" applyFont="1" applyFill="1" applyBorder="1" applyAlignment="1">
      <alignment horizontal="left" vertical="center"/>
    </xf>
    <xf numFmtId="0" fontId="73" fillId="2" borderId="16" xfId="0" applyFont="1" applyFill="1" applyBorder="1" applyAlignment="1">
      <alignment vertical="center"/>
    </xf>
    <xf numFmtId="1" fontId="21" fillId="2" borderId="25" xfId="0" applyNumberFormat="1" applyFont="1" applyFill="1" applyBorder="1" applyAlignment="1">
      <alignment horizontal="left" vertical="center"/>
    </xf>
    <xf numFmtId="1" fontId="21" fillId="2" borderId="17" xfId="0" applyNumberFormat="1" applyFont="1" applyFill="1" applyBorder="1" applyAlignment="1">
      <alignment horizontal="left" vertical="center"/>
    </xf>
    <xf numFmtId="1" fontId="20" fillId="2" borderId="26" xfId="0" applyNumberFormat="1" applyFont="1" applyFill="1" applyBorder="1" applyAlignment="1">
      <alignment horizontal="center" vertical="center"/>
    </xf>
    <xf numFmtId="1" fontId="20" fillId="2" borderId="25" xfId="0" applyNumberFormat="1" applyFont="1" applyFill="1" applyBorder="1" applyAlignment="1">
      <alignment horizontal="center" vertical="center"/>
    </xf>
    <xf numFmtId="1" fontId="23" fillId="2" borderId="25" xfId="2" applyNumberFormat="1" applyFont="1" applyFill="1" applyBorder="1" applyAlignment="1">
      <alignment horizontal="center" vertical="center"/>
    </xf>
    <xf numFmtId="165" fontId="25" fillId="0" borderId="17" xfId="0" applyNumberFormat="1" applyFont="1" applyBorder="1" applyAlignment="1" applyProtection="1">
      <alignment horizontal="right" vertical="center"/>
      <protection locked="0"/>
    </xf>
    <xf numFmtId="164" fontId="16" fillId="2" borderId="0" xfId="0" applyNumberFormat="1" applyFont="1" applyFill="1" applyAlignment="1">
      <alignment horizontal="right" vertical="center"/>
    </xf>
    <xf numFmtId="1" fontId="20" fillId="2" borderId="16" xfId="0" applyNumberFormat="1" applyFont="1" applyFill="1" applyBorder="1" applyAlignment="1">
      <alignment horizontal="right" vertical="center"/>
    </xf>
    <xf numFmtId="1" fontId="20" fillId="2" borderId="17" xfId="0" applyNumberFormat="1" applyFont="1" applyFill="1" applyBorder="1" applyAlignment="1">
      <alignment horizontal="right" vertical="center"/>
    </xf>
    <xf numFmtId="165" fontId="71" fillId="0" borderId="17" xfId="0" applyNumberFormat="1" applyFont="1" applyBorder="1" applyAlignment="1" applyProtection="1">
      <alignment horizontal="right" vertical="center"/>
      <protection locked="0"/>
    </xf>
    <xf numFmtId="165" fontId="36" fillId="0" borderId="17" xfId="0" applyNumberFormat="1" applyFont="1" applyBorder="1" applyAlignment="1" applyProtection="1">
      <alignment horizontal="right" vertical="center"/>
      <protection locked="0"/>
    </xf>
    <xf numFmtId="44" fontId="40" fillId="0" borderId="17" xfId="1" applyFont="1" applyFill="1" applyBorder="1" applyAlignment="1">
      <alignment horizontal="right" vertical="center"/>
    </xf>
    <xf numFmtId="44" fontId="41" fillId="0" borderId="17" xfId="1" applyFont="1" applyFill="1" applyBorder="1" applyAlignment="1">
      <alignment horizontal="right" vertical="center"/>
    </xf>
    <xf numFmtId="165" fontId="25" fillId="0" borderId="18" xfId="0" applyNumberFormat="1" applyFont="1" applyBorder="1" applyAlignment="1" applyProtection="1">
      <alignment horizontal="right" vertical="center"/>
      <protection locked="0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49" fontId="16" fillId="2" borderId="0" xfId="0" applyNumberFormat="1" applyFont="1" applyFill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49" fontId="20" fillId="2" borderId="26" xfId="0" applyNumberFormat="1" applyFont="1" applyFill="1" applyBorder="1" applyAlignment="1">
      <alignment horizontal="center" vertical="center"/>
    </xf>
    <xf numFmtId="49" fontId="20" fillId="2" borderId="0" xfId="0" applyNumberFormat="1" applyFont="1" applyFill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15" fillId="0" borderId="0" xfId="0" applyNumberFormat="1" applyFont="1"/>
    <xf numFmtId="0" fontId="2" fillId="0" borderId="17" xfId="2" applyBorder="1" applyAlignment="1">
      <alignment horizontal="center"/>
    </xf>
    <xf numFmtId="0" fontId="39" fillId="0" borderId="0" xfId="2" applyFont="1" applyBorder="1" applyAlignment="1">
      <alignment horizontal="center" vertical="center"/>
    </xf>
    <xf numFmtId="0" fontId="15" fillId="0" borderId="0" xfId="0" quotePrefix="1" applyFont="1" applyAlignment="1">
      <alignment horizontal="center" vertical="center"/>
    </xf>
    <xf numFmtId="0" fontId="38" fillId="0" borderId="0" xfId="0" applyFont="1" applyAlignment="1">
      <alignment horizontal="left"/>
    </xf>
    <xf numFmtId="0" fontId="74" fillId="0" borderId="0" xfId="0" applyFont="1" applyAlignment="1">
      <alignment horizontal="left"/>
    </xf>
  </cellXfs>
  <cellStyles count="114">
    <cellStyle name="Accent1 - 20%" xfId="31" xr:uid="{4FDF46DC-2841-406C-AB01-B06B9C10A926}"/>
    <cellStyle name="Accent1 - 40%" xfId="32" xr:uid="{773ADEB1-FE05-4C53-BF58-C03DFA0D0106}"/>
    <cellStyle name="Accent1 - 60%" xfId="33" xr:uid="{A39E4FD0-9A49-4FB5-B03A-F3AED515D02A}"/>
    <cellStyle name="Accent2 - 20%" xfId="35" xr:uid="{46C2D2B5-9592-42A5-954B-A20325808106}"/>
    <cellStyle name="Accent2 - 40%" xfId="36" xr:uid="{21CF1E3F-FD83-4F5D-AE58-80A5824A56CA}"/>
    <cellStyle name="Accent2 - 60%" xfId="37" xr:uid="{AE28A8C5-EB57-444B-8D2F-C5158EDA63A8}"/>
    <cellStyle name="Accent3 - 20%" xfId="39" xr:uid="{99387473-2194-4F95-B178-C7804719E3BE}"/>
    <cellStyle name="Accent3 - 40%" xfId="40" xr:uid="{0F181DB3-9706-4C2E-A511-F3E40F5B9431}"/>
    <cellStyle name="Accent3 - 60%" xfId="41" xr:uid="{F6AE3E1C-694C-48EE-B580-2B70434DF367}"/>
    <cellStyle name="Accent4 - 20%" xfId="43" xr:uid="{E7379C97-8ABD-41F6-8B26-752FE2CFF5A1}"/>
    <cellStyle name="Accent4 - 40%" xfId="44" xr:uid="{2212BF49-03AB-40F7-8717-791EABC417AE}"/>
    <cellStyle name="Accent4 - 60%" xfId="45" xr:uid="{0B0C7BE5-D708-43B2-BF24-6EFF270F03FC}"/>
    <cellStyle name="Accent5 - 20%" xfId="47" xr:uid="{52074149-5AAE-46C5-A642-104DEAAFB9F2}"/>
    <cellStyle name="Accent5 - 40%" xfId="48" xr:uid="{42D735DD-189B-454F-8153-ACB0A13DCF19}"/>
    <cellStyle name="Accent5 - 60%" xfId="49" xr:uid="{4D2F0B8E-6D38-4563-A6C3-502011F1EA1D}"/>
    <cellStyle name="Accent6 - 20%" xfId="51" xr:uid="{1198DF09-5EDC-4044-9916-C73036039908}"/>
    <cellStyle name="Accent6 - 40%" xfId="52" xr:uid="{576589D3-35FA-4EE8-A989-E62A628DD49A}"/>
    <cellStyle name="Accent6 - 60%" xfId="53" xr:uid="{69715E44-792A-4C11-A806-4392A8EB2AAC}"/>
    <cellStyle name="BodyStyle" xfId="25" xr:uid="{4F113436-9093-4A1B-91F5-C65B9156D5A2}"/>
    <cellStyle name="Cabeçalho 1 2" xfId="61" xr:uid="{E5B4043C-0661-4A48-8F36-D567831B6BE2}"/>
    <cellStyle name="Cabeçalho 2 2" xfId="62" xr:uid="{E460D9B3-0477-41C5-8267-AFE5DE7E19DC}"/>
    <cellStyle name="Cabeçalho 3 2" xfId="63" xr:uid="{466C3DD4-7863-4BD7-806F-22D9D3C168EF}"/>
    <cellStyle name="Cabeçalho 4 2" xfId="64" xr:uid="{659D65F7-0FB6-4CBE-A569-1B569710803C}"/>
    <cellStyle name="Cálculo 2" xfId="55" xr:uid="{912D4477-C7C5-4F3E-AE7A-80C3697296D8}"/>
    <cellStyle name="Célula Ligada 2" xfId="66" xr:uid="{78F41C39-2083-4766-A311-602288DD72B4}"/>
    <cellStyle name="Cor1 2" xfId="30" xr:uid="{1A610275-3190-4E5C-BFEC-55CD2BEB3699}"/>
    <cellStyle name="Cor2 2" xfId="34" xr:uid="{3A4080B6-8E1F-420E-B1F3-C4536DD8ADE7}"/>
    <cellStyle name="Cor3 2" xfId="38" xr:uid="{0A330C26-6EE2-44C4-AA11-FFDE47E7DCA6}"/>
    <cellStyle name="Cor4 2" xfId="42" xr:uid="{A7C100E0-2590-4AB2-A6E2-6A4EDE08DE76}"/>
    <cellStyle name="Cor5 2" xfId="46" xr:uid="{425CEA1C-9917-43BF-98D1-84982EF53A8A}"/>
    <cellStyle name="Cor6 2" xfId="50" xr:uid="{D74A22DF-3542-4F21-B2F4-C6C415D564FC}"/>
    <cellStyle name="Correto 2" xfId="60" xr:uid="{E93030A0-8AE8-4602-AD8B-32EC2D4D2D46}"/>
    <cellStyle name="Currency 2" xfId="5" xr:uid="{F500619B-195F-418B-B69D-9EC579F58C4D}"/>
    <cellStyle name="Currency 2 2" xfId="28" xr:uid="{AC14CFAB-59AE-4121-85C7-6D165BDB7A87}"/>
    <cellStyle name="Emphasis 1" xfId="57" xr:uid="{CB0F1E94-9B1F-4536-90B0-66F035031B2B}"/>
    <cellStyle name="Emphasis 2" xfId="58" xr:uid="{ADC8EED6-ABEC-4CED-B58B-D5A92E51E0E6}"/>
    <cellStyle name="Emphasis 3" xfId="59" xr:uid="{2749B150-AFA7-40F5-A94C-F0A2662CCCA1}"/>
    <cellStyle name="Entrada 2" xfId="65" xr:uid="{BDFFE6F3-CE85-4B1F-8722-7F89AC957A8D}"/>
    <cellStyle name="HeaderStyle" xfId="23" xr:uid="{8C6B578B-9C23-458C-BC77-D44D620C6508}"/>
    <cellStyle name="Hiperligação" xfId="2" builtinId="8"/>
    <cellStyle name="Hyperlink 2" xfId="11" xr:uid="{48BD707A-D5AB-492C-8538-5A80E96CE61F}"/>
    <cellStyle name="Incorreto 2" xfId="54" xr:uid="{61688FB5-8E6A-48AB-9EDF-509E8B6D7FCC}"/>
    <cellStyle name="Moeda" xfId="1" builtinId="4"/>
    <cellStyle name="Moeda 2" xfId="4" xr:uid="{E473C3EF-43C7-4FB1-BE75-4AE6AF5671B7}"/>
    <cellStyle name="Neutro 2" xfId="67" xr:uid="{97F0845A-6F72-4E80-9D47-F969EA6585E2}"/>
    <cellStyle name="Normal" xfId="0" builtinId="0"/>
    <cellStyle name="Normal 10" xfId="26" xr:uid="{E7C6F496-0188-46CA-B1CF-4CA3EF58BB8E}"/>
    <cellStyle name="Normal 11" xfId="27" xr:uid="{3755FF31-CA73-48DB-A038-6CECB52346B3}"/>
    <cellStyle name="Normal 12" xfId="7" xr:uid="{1DE1D8A8-3194-4039-A67A-A5F6660D9941}"/>
    <cellStyle name="Normal 13" xfId="29" xr:uid="{5DB9519F-B553-48A2-BFB5-4BB2C650F8F9}"/>
    <cellStyle name="Normal 2" xfId="3" xr:uid="{D3C6C761-92D0-4A0D-A5B1-46E0DD778006}"/>
    <cellStyle name="Normal 2 2" xfId="10" xr:uid="{F02498B1-6643-440A-BDE5-D2AE50D9BBD4}"/>
    <cellStyle name="Normal 3" xfId="8" xr:uid="{6D6A22EF-21F4-4334-9926-7E7383741E38}"/>
    <cellStyle name="Normal 4" xfId="13" xr:uid="{236FFAA0-391A-4D77-8BB6-A389FB10DEB5}"/>
    <cellStyle name="Normal 4 2" xfId="19" xr:uid="{BDF0FC6B-66AC-461F-B68D-D5DB44F6DFB0}"/>
    <cellStyle name="Normal 5" xfId="9" xr:uid="{88C9F060-DFB6-4FD2-BA97-980C377FE3FA}"/>
    <cellStyle name="Normal 5 2" xfId="17" xr:uid="{6E5828FB-A7EA-4B2A-802D-972303702136}"/>
    <cellStyle name="Normal 6" xfId="14" xr:uid="{48E27669-7B84-4E97-B116-D0BF7F8CCE5A}"/>
    <cellStyle name="Normal 6 2" xfId="20" xr:uid="{553D2C54-F632-4A8F-A365-0B9CC3F10A79}"/>
    <cellStyle name="Normal 7" xfId="15" xr:uid="{95C27DF9-E21B-4C77-855F-1BD9D5EB504C}"/>
    <cellStyle name="Normal 7 2" xfId="21" xr:uid="{99BAF1DD-9C1C-4564-9C39-17490DBC3FA7}"/>
    <cellStyle name="Normal 8" xfId="16" xr:uid="{B49BFFD6-CDE2-4919-96CD-580F139A7F23}"/>
    <cellStyle name="Normal 9" xfId="22" xr:uid="{A1F63DEB-D0DF-4CD5-BD90-9C128AFBA274}"/>
    <cellStyle name="Nota 2" xfId="68" xr:uid="{7DF389C2-7B4D-4656-AE5F-33E8417A3327}"/>
    <cellStyle name="Numeric" xfId="24" xr:uid="{DCE793D5-61A7-47B5-B528-87F8083A09D6}"/>
    <cellStyle name="Percent 2" xfId="18" xr:uid="{F8A74E55-D9C3-4167-8139-825B5EE8B2A5}"/>
    <cellStyle name="Percent 3" xfId="12" xr:uid="{C7038687-E548-457D-8B9B-8695004F9E42}"/>
    <cellStyle name="Saída 2" xfId="69" xr:uid="{73418CA2-11B0-4811-807F-3FCD6701C45F}"/>
    <cellStyle name="SAPBEXaggData" xfId="70" xr:uid="{C98D735B-2E07-4165-A438-244378CC7618}"/>
    <cellStyle name="SAPBEXaggDataEmph" xfId="71" xr:uid="{69F378F0-7545-4A0D-9D3E-E09F6AD5D152}"/>
    <cellStyle name="SAPBEXaggItem" xfId="72" xr:uid="{2F6AA77A-B7C8-4E91-9A32-1DF6D05E2CBC}"/>
    <cellStyle name="SAPBEXaggItemX" xfId="73" xr:uid="{B147365F-F330-4AE5-8494-4B2D3C2912B2}"/>
    <cellStyle name="SAPBEXchaText" xfId="74" xr:uid="{84D203C7-DD18-4E9B-B667-3A805935A3B0}"/>
    <cellStyle name="SAPBEXexcBad7" xfId="75" xr:uid="{30E14A68-4D0A-42A2-9B8B-22B145AA3595}"/>
    <cellStyle name="SAPBEXexcBad8" xfId="76" xr:uid="{160F1CC9-A591-4718-ACE6-11D44013A76C}"/>
    <cellStyle name="SAPBEXexcBad9" xfId="77" xr:uid="{178843AE-5F0B-44A4-A942-325AF78C3330}"/>
    <cellStyle name="SAPBEXexcCritical4" xfId="78" xr:uid="{4B8A31CC-EFAD-4FA4-848E-415E342D69CB}"/>
    <cellStyle name="SAPBEXexcCritical5" xfId="79" xr:uid="{101F09BC-5999-4D8E-A276-1C56DF64D0D3}"/>
    <cellStyle name="SAPBEXexcCritical6" xfId="80" xr:uid="{10E7D84A-EE62-438B-BC25-D1D6E371C159}"/>
    <cellStyle name="SAPBEXexcGood1" xfId="81" xr:uid="{8282D28A-D7CA-4E41-8901-B96E6D2E8563}"/>
    <cellStyle name="SAPBEXexcGood2" xfId="82" xr:uid="{E4C274EF-58A4-4B87-AB06-AE43A476DBAF}"/>
    <cellStyle name="SAPBEXexcGood3" xfId="83" xr:uid="{4C9875EB-C6E4-48AA-8122-F19E3D31A83F}"/>
    <cellStyle name="SAPBEXfilterDrill" xfId="84" xr:uid="{692B7710-4229-43A6-864E-F143FAED0BC8}"/>
    <cellStyle name="SAPBEXfilterItem" xfId="85" xr:uid="{5FCDD352-8712-44CB-A69C-D29384BC642E}"/>
    <cellStyle name="SAPBEXfilterText" xfId="86" xr:uid="{4B162FC0-62B0-4CBE-AFD7-BADD6CC4ABD3}"/>
    <cellStyle name="SAPBEXformats" xfId="87" xr:uid="{AF03DF0E-4DC4-4F53-830C-73CC6FF053CD}"/>
    <cellStyle name="SAPBEXheaderItem" xfId="88" xr:uid="{28DDA624-BEFA-4B26-9781-4BC04B185E91}"/>
    <cellStyle name="SAPBEXheaderText" xfId="89" xr:uid="{44FF0493-04A5-40DC-A564-5145208376AF}"/>
    <cellStyle name="SAPBEXHLevel0" xfId="90" xr:uid="{1612DE68-4C37-4AF9-8550-5E92F14C5BA0}"/>
    <cellStyle name="SAPBEXHLevel0X" xfId="91" xr:uid="{1E90B0C4-3D51-41FB-A198-8A17277268E0}"/>
    <cellStyle name="SAPBEXHLevel1" xfId="92" xr:uid="{1F549151-E53E-420A-B274-0724682BCC68}"/>
    <cellStyle name="SAPBEXHLevel1X" xfId="93" xr:uid="{E566C0BD-3464-4D32-AEC9-B962F25B889B}"/>
    <cellStyle name="SAPBEXHLevel2" xfId="94" xr:uid="{1F933351-9A2E-487E-800C-2AA62CE1E431}"/>
    <cellStyle name="SAPBEXHLevel2X" xfId="95" xr:uid="{2A85FFA2-6081-4B8F-A12C-65F018584EEC}"/>
    <cellStyle name="SAPBEXHLevel3" xfId="96" xr:uid="{683577FF-2DCD-47D0-9089-DB15C4EB923B}"/>
    <cellStyle name="SAPBEXHLevel3X" xfId="97" xr:uid="{877E39EA-AD1B-4577-9DC0-688CC5BB622C}"/>
    <cellStyle name="SAPBEXinputData" xfId="98" xr:uid="{BB86DC23-9CEF-4B12-AAF3-21468399186B}"/>
    <cellStyle name="SAPBEXItemHeader" xfId="99" xr:uid="{D5A06D6F-D10D-4269-A863-01EBFA1C646C}"/>
    <cellStyle name="SAPBEXresData" xfId="100" xr:uid="{E2E6D6EC-4F43-418F-9E19-DBC6D3D012EB}"/>
    <cellStyle name="SAPBEXresDataEmph" xfId="101" xr:uid="{B19DBB72-90C8-4FAB-A820-F3C8223F6AEA}"/>
    <cellStyle name="SAPBEXresItem" xfId="102" xr:uid="{1DBD9C02-E705-4C98-971E-77310165D5C3}"/>
    <cellStyle name="SAPBEXresItemX" xfId="103" xr:uid="{C94AAC8B-7A19-43B4-9507-C945E3B0E462}"/>
    <cellStyle name="SAPBEXstdData" xfId="104" xr:uid="{67ABFDA2-35FF-4678-A9AF-B602B4FAF87E}"/>
    <cellStyle name="SAPBEXstdDataEmph" xfId="105" xr:uid="{2A82274F-1C8B-4FD9-91FA-C35DA3943AB2}"/>
    <cellStyle name="SAPBEXstdItem" xfId="106" xr:uid="{FF44DE21-6F99-419D-B686-C0204B052209}"/>
    <cellStyle name="SAPBEXstdItemX" xfId="107" xr:uid="{682D016B-FFCF-4CF0-AB19-50D6E481DF2F}"/>
    <cellStyle name="SAPBEXtitle" xfId="108" xr:uid="{9FDE9749-75D7-45E3-BCBD-C73C6DF53363}"/>
    <cellStyle name="SAPBEXunassignedItem" xfId="109" xr:uid="{70D3DF26-CDC5-4AC5-9225-D294EB844F0E}"/>
    <cellStyle name="SAPBEXundefined" xfId="110" xr:uid="{5565EF29-943E-48D1-A748-0B0B6A14890D}"/>
    <cellStyle name="Sheet Title" xfId="111" xr:uid="{3FF13F7C-89DF-41E0-A0A1-0C9F19AAE6FA}"/>
    <cellStyle name="Standard 5" xfId="6" xr:uid="{EE969309-25DA-422E-A36F-F2363E63FE73}"/>
    <cellStyle name="Texto de Aviso 2" xfId="113" xr:uid="{A5F9F22A-3D6F-4A7E-9C90-D3B1B668B842}"/>
    <cellStyle name="Total 2" xfId="112" xr:uid="{443FE5F9-61FE-4984-9BD3-A49FF77B65A5}"/>
    <cellStyle name="Verificar Célula 2" xfId="56" xr:uid="{E128FAFA-38B7-4B49-8293-1B4EEB04F54B}"/>
  </cellStyles>
  <dxfs count="0"/>
  <tableStyles count="0" defaultTableStyle="TableStyleMedium2" defaultPivotStyle="PivotStyleLight16"/>
  <colors>
    <mruColors>
      <color rgb="FFFF6600"/>
      <color rgb="FF4D6573"/>
      <color rgb="FF98ADBA"/>
      <color rgb="FF708D9F"/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1061950</xdr:rowOff>
    </xdr:to>
    <xdr:pic>
      <xdr:nvPicPr>
        <xdr:cNvPr id="8" name="Imagem 9">
          <a:extLst>
            <a:ext uri="{FF2B5EF4-FFF2-40B4-BE49-F238E27FC236}">
              <a16:creationId xmlns:a16="http://schemas.microsoft.com/office/drawing/2014/main" id="{063964E2-C06A-416A-8259-85BE32B09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40285" y="0"/>
          <a:ext cx="1008045" cy="1061950"/>
        </a:xfrm>
        <a:prstGeom prst="rect">
          <a:avLst/>
        </a:prstGeom>
        <a:noFill/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nt.ledvance.com\net-lis\FS_SHARE\Daf\Marta%20Machado\Clientes\Bonus\CY%202025\TABELA%20DE%20PRE&#199;OS\C&#243;pia%20de%20Equival&#234;ncias%20Floodlight_.xlsx" TargetMode="External"/><Relationship Id="rId1" Type="http://schemas.openxmlformats.org/officeDocument/2006/relationships/externalLinkPath" Target="file:///\\int.ledvance.com\net-lis\FS_SHARE\Daf\Marta%20Machado\Clientes\Bonus\CY%202025\TABELA%20DE%20PRE&#199;OS\C&#243;pia%20de%20Equival&#234;ncias%20Floodlight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  <sheetName val="Sheet3"/>
    </sheetNames>
    <sheetDataSet>
      <sheetData sheetId="0">
        <row r="3">
          <cell r="D3">
            <v>4099854305689</v>
          </cell>
          <cell r="E3">
            <v>4058075420847</v>
          </cell>
          <cell r="F3" t="str">
            <v xml:space="preserve">FL PFM 10W/3000K SYM 100 BK        </v>
          </cell>
        </row>
        <row r="4">
          <cell r="D4">
            <v>4099854305702</v>
          </cell>
          <cell r="E4">
            <v>4058075420861</v>
          </cell>
          <cell r="F4" t="str">
            <v xml:space="preserve">FL PFM 10W/3000K SYM 100 WT        </v>
          </cell>
        </row>
        <row r="5">
          <cell r="D5">
            <v>4099854305665</v>
          </cell>
          <cell r="E5">
            <v>4058075420885</v>
          </cell>
          <cell r="F5" t="str">
            <v xml:space="preserve">FL PFM 10W/4000K SYM 100 BK        </v>
          </cell>
        </row>
        <row r="6">
          <cell r="D6">
            <v>4099854305726</v>
          </cell>
          <cell r="E6">
            <v>4058075420908</v>
          </cell>
          <cell r="F6" t="str">
            <v xml:space="preserve">FL PFM 10W/4000K SYM 100 WT        </v>
          </cell>
        </row>
        <row r="7">
          <cell r="D7">
            <v>4099854305740</v>
          </cell>
          <cell r="E7">
            <v>4058075420922</v>
          </cell>
          <cell r="F7" t="str">
            <v xml:space="preserve">FL PFM 10W/6500K SYM 100 BK        </v>
          </cell>
        </row>
        <row r="8">
          <cell r="D8">
            <v>4099854305764</v>
          </cell>
          <cell r="E8">
            <v>4058075420946</v>
          </cell>
          <cell r="F8" t="str">
            <v xml:space="preserve">FL PFM 10W/6500K SYM 100 WT        </v>
          </cell>
        </row>
        <row r="9">
          <cell r="D9">
            <v>4099854305788</v>
          </cell>
          <cell r="E9">
            <v>4058075420960</v>
          </cell>
          <cell r="F9" t="str">
            <v xml:space="preserve">FL PFM 20W/3000K SYM 100 BK        </v>
          </cell>
        </row>
        <row r="10">
          <cell r="D10">
            <v>4099854305801</v>
          </cell>
          <cell r="E10">
            <v>4058075420991</v>
          </cell>
          <cell r="F10" t="str">
            <v xml:space="preserve">FL PFM 20W/3000K SYM 100 WT        </v>
          </cell>
        </row>
        <row r="11">
          <cell r="D11">
            <v>4099854305825</v>
          </cell>
          <cell r="E11">
            <v>4058075421011</v>
          </cell>
          <cell r="F11" t="str">
            <v xml:space="preserve">FL PFM 20W/4000K SYM 100 BK        </v>
          </cell>
        </row>
        <row r="12">
          <cell r="D12">
            <v>4099854305849</v>
          </cell>
          <cell r="E12">
            <v>4058075421035</v>
          </cell>
          <cell r="F12" t="str">
            <v xml:space="preserve">FL PFM 20W/4000K SYM 100 WT        </v>
          </cell>
        </row>
        <row r="13">
          <cell r="D13">
            <v>4099854305863</v>
          </cell>
          <cell r="E13">
            <v>4058075421059</v>
          </cell>
          <cell r="F13" t="str">
            <v xml:space="preserve">FL PFM 20W/6500K SYM 100 BK        </v>
          </cell>
        </row>
        <row r="14">
          <cell r="D14">
            <v>4099854305887</v>
          </cell>
          <cell r="E14">
            <v>4058075421073</v>
          </cell>
          <cell r="F14" t="str">
            <v xml:space="preserve">FL PFM 20W/6500K SYM 100 WT        </v>
          </cell>
        </row>
        <row r="15">
          <cell r="D15">
            <v>4099854305924</v>
          </cell>
          <cell r="E15" t="str">
            <v>4058075421097 ou 4058075421226</v>
          </cell>
          <cell r="F15" t="str">
            <v xml:space="preserve">FL PFM 30 W 3000 K SYM 100 BK|FL PFM 50W/3000K SYM 100 BK        </v>
          </cell>
        </row>
        <row r="16">
          <cell r="D16"/>
          <cell r="E16">
            <v>4058075421226</v>
          </cell>
          <cell r="F16" t="str">
            <v xml:space="preserve">FL PFM 50W/3000K SYM 100 BK        </v>
          </cell>
        </row>
        <row r="17">
          <cell r="D17">
            <v>4099854305948</v>
          </cell>
          <cell r="E17" t="str">
            <v>4058075421110 ou 4058075421240</v>
          </cell>
          <cell r="F17" t="str">
            <v xml:space="preserve">FL PFM 30 W 3000 K SYM 100 WT|FL PFM 50W/3000K SYM 100 WT        </v>
          </cell>
        </row>
        <row r="18">
          <cell r="D18"/>
          <cell r="E18">
            <v>4058075421240</v>
          </cell>
          <cell r="F18" t="str">
            <v xml:space="preserve">FL PFM 50W/3000K SYM 100 WT        </v>
          </cell>
        </row>
        <row r="19">
          <cell r="D19">
            <v>4099854305962</v>
          </cell>
          <cell r="E19" t="str">
            <v>4058075421134 ou 4058075421264</v>
          </cell>
          <cell r="F19" t="str">
            <v xml:space="preserve">FL PFM 30 W 4000 K SYM 100 BK|FL PFM 50W/4000K SYM 100 BK        </v>
          </cell>
        </row>
        <row r="20">
          <cell r="D20"/>
          <cell r="E20">
            <v>4058075421264</v>
          </cell>
          <cell r="F20" t="str">
            <v xml:space="preserve">FL PFM 50W/4000K SYM 100 BK        </v>
          </cell>
        </row>
        <row r="21">
          <cell r="D21">
            <v>4099854305986</v>
          </cell>
          <cell r="E21" t="str">
            <v>4058075421165 ou 4058075421288</v>
          </cell>
          <cell r="F21" t="str">
            <v xml:space="preserve">FL PFM 30 W 4000 K SYM 100 WT|FL PFM 50W/4000K SYM 100 WT        </v>
          </cell>
        </row>
        <row r="22">
          <cell r="D22"/>
          <cell r="E22">
            <v>4058075421288</v>
          </cell>
          <cell r="F22" t="str">
            <v xml:space="preserve">FL PFM 50W/4000K SYM 100 WT        </v>
          </cell>
        </row>
        <row r="23">
          <cell r="D23">
            <v>4099854306006</v>
          </cell>
          <cell r="E23" t="str">
            <v>4058075421189 ou 4058075421301</v>
          </cell>
          <cell r="F23" t="str">
            <v xml:space="preserve">FL PFM 30 W 6500 K SYM 100 BK|FL PFM 50W/6500K SYM 100 BK        </v>
          </cell>
        </row>
        <row r="24">
          <cell r="D24"/>
          <cell r="E24">
            <v>4058075421301</v>
          </cell>
          <cell r="F24" t="str">
            <v xml:space="preserve">FL PFM 50W/6500K SYM 100 BK        </v>
          </cell>
        </row>
        <row r="25">
          <cell r="D25">
            <v>4099854306020</v>
          </cell>
          <cell r="E25" t="str">
            <v>4058075421202 ou 4058075421325</v>
          </cell>
          <cell r="F25" t="str">
            <v xml:space="preserve">FL PFM 30 W 6500 K SYM 100 WT|FL PFM 50W/6500K SYM 100 WT        </v>
          </cell>
        </row>
        <row r="26">
          <cell r="D26"/>
          <cell r="E26">
            <v>4058075421325</v>
          </cell>
          <cell r="F26" t="str">
            <v xml:space="preserve">FL PFM 50W/6500K SYM 100 WT        </v>
          </cell>
        </row>
        <row r="27">
          <cell r="D27">
            <v>4099854306082</v>
          </cell>
          <cell r="E27" t="str">
            <v>4058075422445 ou 4058075422506</v>
          </cell>
          <cell r="F27" t="str">
            <v xml:space="preserve">FL PFM 65 W 3000 K SYM 100 BK|FL PFM 80W/3000K SYM 100 BK        </v>
          </cell>
        </row>
        <row r="28">
          <cell r="D28"/>
          <cell r="E28">
            <v>4058075422506</v>
          </cell>
          <cell r="F28" t="str">
            <v xml:space="preserve">FL PFM 80W/3000K SYM 100 BK        </v>
          </cell>
        </row>
        <row r="29">
          <cell r="D29">
            <v>4099854306143</v>
          </cell>
          <cell r="E29"/>
          <cell r="F29"/>
        </row>
        <row r="30">
          <cell r="D30">
            <v>4099854306167</v>
          </cell>
          <cell r="E30" t="str">
            <v>4058075422469 ou 4058075422520</v>
          </cell>
          <cell r="F30" t="str">
            <v xml:space="preserve">FL PFM 65 W 4000 K SYM 100 BK|FL PFM 80W/4000K SYM 100 BK        </v>
          </cell>
        </row>
        <row r="31">
          <cell r="D31"/>
          <cell r="E31">
            <v>4058075422520</v>
          </cell>
          <cell r="F31" t="str">
            <v xml:space="preserve">FL PFM 80W/4000K SYM 100 BK        </v>
          </cell>
        </row>
        <row r="32">
          <cell r="D32">
            <v>4099854306181</v>
          </cell>
          <cell r="E32"/>
          <cell r="F32"/>
        </row>
        <row r="33">
          <cell r="D33">
            <v>4099854306204</v>
          </cell>
          <cell r="E33" t="str">
            <v>4058075422483 ou 4058075422544</v>
          </cell>
          <cell r="F33" t="str">
            <v xml:space="preserve">FL PFM 65 W 6500 K SYM 100 BK|FL PFM 80W/6500K SYM 100 BK        </v>
          </cell>
        </row>
        <row r="34">
          <cell r="D34"/>
          <cell r="E34">
            <v>4058075422544</v>
          </cell>
          <cell r="F34" t="str">
            <v xml:space="preserve">FL PFM 80W/6500K SYM 100 BK        </v>
          </cell>
        </row>
        <row r="35">
          <cell r="D35">
            <v>4099854306228</v>
          </cell>
          <cell r="E35"/>
          <cell r="F35"/>
        </row>
        <row r="36">
          <cell r="D36">
            <v>4099854306242</v>
          </cell>
          <cell r="E36">
            <v>4058075423695</v>
          </cell>
          <cell r="F36" t="str">
            <v xml:space="preserve">FL PFM 125W/3000K SYM 100 BK       </v>
          </cell>
        </row>
        <row r="37">
          <cell r="D37">
            <v>4099854306266</v>
          </cell>
          <cell r="E37"/>
          <cell r="F37"/>
        </row>
        <row r="38">
          <cell r="D38">
            <v>4099854306280</v>
          </cell>
          <cell r="E38">
            <v>4058075423701</v>
          </cell>
          <cell r="F38" t="str">
            <v xml:space="preserve">FL PFM 125W/4000K SYM 100 BK       </v>
          </cell>
        </row>
        <row r="39">
          <cell r="D39">
            <v>4099854306303</v>
          </cell>
          <cell r="E39"/>
          <cell r="F39"/>
        </row>
        <row r="40">
          <cell r="D40">
            <v>4099854306327</v>
          </cell>
          <cell r="E40">
            <v>4058075423718</v>
          </cell>
          <cell r="F40" t="str">
            <v xml:space="preserve">FL PFM 125W/6500K SYM 100 BK       </v>
          </cell>
        </row>
        <row r="41">
          <cell r="D41">
            <v>4099854306341</v>
          </cell>
          <cell r="E41"/>
          <cell r="F41"/>
        </row>
        <row r="42">
          <cell r="D42">
            <v>4099854306365</v>
          </cell>
          <cell r="E42">
            <v>4058075423725</v>
          </cell>
          <cell r="F42" t="str">
            <v xml:space="preserve">FL PFM 165W/3000K SYM 100 BK       </v>
          </cell>
        </row>
        <row r="43">
          <cell r="D43">
            <v>4099854306389</v>
          </cell>
          <cell r="E43"/>
          <cell r="F43"/>
        </row>
        <row r="44">
          <cell r="D44">
            <v>4099854306402</v>
          </cell>
          <cell r="E44">
            <v>4058075423732</v>
          </cell>
          <cell r="F44" t="str">
            <v xml:space="preserve">FL PFM 165W/4000K SYM 100 BK       </v>
          </cell>
        </row>
        <row r="45">
          <cell r="D45">
            <v>4099854306426</v>
          </cell>
          <cell r="E45"/>
          <cell r="F45"/>
        </row>
        <row r="46">
          <cell r="D46">
            <v>4099854306464</v>
          </cell>
          <cell r="E46">
            <v>4058075423749</v>
          </cell>
          <cell r="F46" t="str">
            <v xml:space="preserve">FL PFM 165W/6500K SYM 100 BK       </v>
          </cell>
        </row>
        <row r="47">
          <cell r="D47">
            <v>4099854306488</v>
          </cell>
          <cell r="E47"/>
          <cell r="F47"/>
        </row>
        <row r="48">
          <cell r="D48">
            <v>4099854306563</v>
          </cell>
          <cell r="E48">
            <v>4058075423756</v>
          </cell>
          <cell r="F48" t="str">
            <v xml:space="preserve">FL PFM 200W/3000K SYM 100 BK       </v>
          </cell>
        </row>
        <row r="49">
          <cell r="D49">
            <v>4099854306587</v>
          </cell>
          <cell r="E49"/>
          <cell r="F49"/>
        </row>
        <row r="50">
          <cell r="D50">
            <v>4099854306600</v>
          </cell>
          <cell r="E50">
            <v>4058075423763</v>
          </cell>
          <cell r="F50" t="str">
            <v xml:space="preserve">FL PFM 200W/4000K SYM 100 BK       </v>
          </cell>
        </row>
        <row r="51">
          <cell r="D51">
            <v>4099854306624</v>
          </cell>
          <cell r="E51"/>
          <cell r="F51"/>
        </row>
        <row r="52">
          <cell r="D52">
            <v>4099854306648</v>
          </cell>
          <cell r="E52">
            <v>4058075423770</v>
          </cell>
          <cell r="F52" t="str">
            <v xml:space="preserve">FL PFM 200W/6500K SYM 100 BK       </v>
          </cell>
        </row>
        <row r="53">
          <cell r="D53">
            <v>4099854306662</v>
          </cell>
          <cell r="E53"/>
          <cell r="F53"/>
        </row>
        <row r="54">
          <cell r="D54"/>
          <cell r="E54"/>
          <cell r="F54"/>
        </row>
        <row r="55">
          <cell r="D55">
            <v>4099854306709</v>
          </cell>
          <cell r="E55">
            <v>4058075460850</v>
          </cell>
          <cell r="F55" t="str">
            <v xml:space="preserve">FL PFM 10W/3000K SYM 100 S WT      </v>
          </cell>
        </row>
        <row r="56">
          <cell r="D56">
            <v>4099854306747</v>
          </cell>
          <cell r="E56">
            <v>4058075460836</v>
          </cell>
          <cell r="F56" t="str">
            <v xml:space="preserve">FL PFM 10W/3000K SYM 100 S BK      </v>
          </cell>
        </row>
        <row r="57">
          <cell r="D57">
            <v>4099854306785</v>
          </cell>
          <cell r="E57">
            <v>4058075460898</v>
          </cell>
          <cell r="F57" t="str">
            <v xml:space="preserve">FL PFM 10W/4000K SYM 100 S WT      </v>
          </cell>
        </row>
        <row r="58">
          <cell r="D58">
            <v>4099854306808</v>
          </cell>
          <cell r="E58">
            <v>4058075460874</v>
          </cell>
          <cell r="F58" t="str">
            <v xml:space="preserve">FL PFM 10W/4000K SYM 100 S BK      </v>
          </cell>
        </row>
        <row r="59">
          <cell r="D59">
            <v>4099854309465</v>
          </cell>
          <cell r="E59">
            <v>4058075460935</v>
          </cell>
          <cell r="F59" t="str">
            <v xml:space="preserve">FL PFM 20W/3000K SYM 100 S WT      </v>
          </cell>
        </row>
        <row r="60">
          <cell r="D60">
            <v>4099854309489</v>
          </cell>
          <cell r="E60">
            <v>4058075460911</v>
          </cell>
          <cell r="F60" t="str">
            <v xml:space="preserve">FL PFM 20W/3000K SYM 100 S BK      </v>
          </cell>
        </row>
        <row r="61">
          <cell r="D61">
            <v>4099854309502</v>
          </cell>
          <cell r="E61">
            <v>4058075460973</v>
          </cell>
          <cell r="F61" t="str">
            <v xml:space="preserve">FL PFM 20W/4000K SYM 100 S WT      </v>
          </cell>
        </row>
        <row r="62">
          <cell r="D62">
            <v>4099854309526</v>
          </cell>
          <cell r="E62">
            <v>4058075460959</v>
          </cell>
          <cell r="F62" t="str">
            <v xml:space="preserve">FL PFM 20W/4000K SYM 100 S BK      </v>
          </cell>
        </row>
        <row r="63">
          <cell r="D63">
            <v>4099854306822</v>
          </cell>
          <cell r="E63">
            <v>4058075461017</v>
          </cell>
          <cell r="F63" t="str">
            <v xml:space="preserve">FL PFM 50W/3000K SYM 100 S WT      </v>
          </cell>
        </row>
        <row r="64">
          <cell r="D64">
            <v>4099854306860</v>
          </cell>
          <cell r="E64">
            <v>4058075460997</v>
          </cell>
          <cell r="F64" t="str">
            <v xml:space="preserve">FL PFM 50W/3000K SYM 100 S BK      </v>
          </cell>
        </row>
        <row r="65">
          <cell r="D65">
            <v>4099854306884</v>
          </cell>
          <cell r="E65">
            <v>4058075461055</v>
          </cell>
          <cell r="F65" t="str">
            <v xml:space="preserve">FL PFM 50W/4000K SYM 100 S WT      </v>
          </cell>
        </row>
        <row r="66">
          <cell r="D66">
            <v>4099854306921</v>
          </cell>
          <cell r="E66">
            <v>4058075461031</v>
          </cell>
          <cell r="F66" t="str">
            <v xml:space="preserve">FL PFM 50W/4000K SYM 100 S BK      </v>
          </cell>
        </row>
        <row r="67">
          <cell r="D67"/>
          <cell r="E67"/>
          <cell r="F67"/>
        </row>
        <row r="68">
          <cell r="D68">
            <v>4099854306945</v>
          </cell>
          <cell r="E68">
            <v>4058075461093</v>
          </cell>
          <cell r="F68" t="str">
            <v>FL PFM 65 W 4000 K SYM 100 SL BK</v>
          </cell>
        </row>
        <row r="69">
          <cell r="D69"/>
          <cell r="E69">
            <v>4058075461130</v>
          </cell>
          <cell r="F69" t="str">
            <v xml:space="preserve">FL PFM 80W/4000K SYM100SL BK </v>
          </cell>
        </row>
        <row r="70">
          <cell r="D70">
            <v>4099854307003</v>
          </cell>
          <cell r="E70">
            <v>4058075461161</v>
          </cell>
          <cell r="F70" t="str">
            <v xml:space="preserve">FL PFM125W/4000K SYM100SL BK </v>
          </cell>
        </row>
        <row r="71">
          <cell r="D71">
            <v>4099854307041</v>
          </cell>
          <cell r="E71">
            <v>4058075461185</v>
          </cell>
          <cell r="F71" t="str">
            <v xml:space="preserve">FL PFM165W/4000K SYM100SL BK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edvance.com/en/product-datasheet/364644/341336" TargetMode="External"/><Relationship Id="rId13" Type="http://schemas.openxmlformats.org/officeDocument/2006/relationships/hyperlink" Target="https://www.ledvance.pt/pt/product-datasheet/299370/296883" TargetMode="External"/><Relationship Id="rId3" Type="http://schemas.openxmlformats.org/officeDocument/2006/relationships/hyperlink" Target="https://www.ledvance.pt/pt/product-datasheet/357893/352727" TargetMode="External"/><Relationship Id="rId7" Type="http://schemas.openxmlformats.org/officeDocument/2006/relationships/hyperlink" Target="https://www.ledvance.com/en/product-datasheet/364644/341333" TargetMode="External"/><Relationship Id="rId12" Type="http://schemas.openxmlformats.org/officeDocument/2006/relationships/hyperlink" Target="https://www.ledvance.com/en/product-datasheet/364644/341348" TargetMode="External"/><Relationship Id="rId2" Type="http://schemas.openxmlformats.org/officeDocument/2006/relationships/hyperlink" Target="https://www.ledvance.pt/pt/product-datasheet/357893/352724" TargetMode="External"/><Relationship Id="rId1" Type="http://schemas.openxmlformats.org/officeDocument/2006/relationships/hyperlink" Target="https://www.ledvance.pt/pt/product-datasheet/357893/352721" TargetMode="External"/><Relationship Id="rId6" Type="http://schemas.openxmlformats.org/officeDocument/2006/relationships/hyperlink" Target="https://www.ledvance.com/en/product-datasheet/7618/43836" TargetMode="External"/><Relationship Id="rId11" Type="http://schemas.openxmlformats.org/officeDocument/2006/relationships/hyperlink" Target="https://www.ledvance.com/en/product-datasheet/364644/341345" TargetMode="External"/><Relationship Id="rId5" Type="http://schemas.openxmlformats.org/officeDocument/2006/relationships/hyperlink" Target="https://www.ledvance.com/en/product-datasheet/7618/138232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s://www.ledvance.com/en/product-datasheet/364644/341342" TargetMode="External"/><Relationship Id="rId4" Type="http://schemas.openxmlformats.org/officeDocument/2006/relationships/hyperlink" Target="https://www.ledvance.pt/pt/product-datasheet/357893/352730" TargetMode="External"/><Relationship Id="rId9" Type="http://schemas.openxmlformats.org/officeDocument/2006/relationships/hyperlink" Target="https://www.ledvance.com/en/product-datasheet/364644/341339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73F36-0213-4B64-A868-B293D9B8C4A2}">
  <dimension ref="A1:P3338"/>
  <sheetViews>
    <sheetView tabSelected="1" topLeftCell="B1" zoomScale="55" zoomScaleNormal="55" workbookViewId="0">
      <pane ySplit="2" topLeftCell="A3" activePane="bottomLeft" state="frozen"/>
      <selection activeCell="C18" sqref="C18"/>
      <selection pane="bottomLeft" activeCell="O1" sqref="O1"/>
    </sheetView>
  </sheetViews>
  <sheetFormatPr defaultColWidth="8.7109375" defaultRowHeight="15" outlineLevelCol="1" x14ac:dyDescent="0.25"/>
  <cols>
    <col min="1" max="1" width="17.7109375" style="38" customWidth="1"/>
    <col min="2" max="2" width="79.28515625" style="7" bestFit="1" customWidth="1"/>
    <col min="3" max="3" width="14.28515625" style="21" customWidth="1"/>
    <col min="4" max="4" width="68.28515625" style="38" customWidth="1" outlineLevel="1"/>
    <col min="5" max="5" width="88.140625" style="7" customWidth="1" outlineLevel="1"/>
    <col min="6" max="6" width="11.7109375" style="7" bestFit="1" customWidth="1"/>
    <col min="7" max="7" width="18.28515625" style="38" bestFit="1" customWidth="1"/>
    <col min="8" max="8" width="9.28515625" style="7" bestFit="1" customWidth="1"/>
    <col min="9" max="9" width="39.7109375" style="7" customWidth="1"/>
    <col min="10" max="10" width="36.5703125" style="204" customWidth="1"/>
    <col min="11" max="11" width="9.7109375" style="7" bestFit="1" customWidth="1"/>
    <col min="12" max="12" width="9.28515625" style="7" customWidth="1"/>
    <col min="13" max="13" width="15" style="197" customWidth="1"/>
    <col min="14" max="14" width="15" style="7" customWidth="1"/>
    <col min="15" max="15" width="8.7109375" style="7"/>
    <col min="16" max="16" width="11.7109375" style="7" bestFit="1" customWidth="1"/>
    <col min="17" max="16384" width="8.7109375" style="7"/>
  </cols>
  <sheetData>
    <row r="1" spans="1:14" ht="96.4" customHeight="1" x14ac:dyDescent="0.25">
      <c r="A1" s="8" t="s">
        <v>1940</v>
      </c>
      <c r="B1" s="8"/>
      <c r="C1" s="50"/>
      <c r="D1" s="9"/>
      <c r="E1" s="10"/>
      <c r="F1" s="9"/>
      <c r="G1" s="9"/>
      <c r="H1" s="9"/>
      <c r="I1" s="9"/>
      <c r="J1" s="199"/>
      <c r="K1" s="9"/>
      <c r="L1" s="9"/>
      <c r="M1" s="189"/>
      <c r="N1" s="9"/>
    </row>
    <row r="2" spans="1:14" s="15" customFormat="1" ht="67.150000000000006" customHeight="1" x14ac:dyDescent="0.25">
      <c r="A2" s="1" t="s">
        <v>0</v>
      </c>
      <c r="B2" s="68" t="s">
        <v>1</v>
      </c>
      <c r="C2" s="1" t="s">
        <v>2</v>
      </c>
      <c r="D2" s="3" t="s">
        <v>2</v>
      </c>
      <c r="E2" s="3" t="s">
        <v>2207</v>
      </c>
      <c r="F2" s="1" t="s">
        <v>1661</v>
      </c>
      <c r="G2" s="1" t="s">
        <v>1939</v>
      </c>
      <c r="H2" s="1" t="s">
        <v>3</v>
      </c>
      <c r="I2" s="1" t="s">
        <v>1938</v>
      </c>
      <c r="J2" s="200" t="s">
        <v>4</v>
      </c>
      <c r="K2" s="1" t="s">
        <v>5</v>
      </c>
      <c r="L2" s="1" t="s">
        <v>6</v>
      </c>
      <c r="M2" s="68" t="s">
        <v>4003</v>
      </c>
      <c r="N2" s="68" t="s">
        <v>7</v>
      </c>
    </row>
    <row r="3" spans="1:14" ht="23.25" x14ac:dyDescent="0.25">
      <c r="A3" s="178"/>
      <c r="B3" s="182" t="s">
        <v>2226</v>
      </c>
      <c r="C3" s="183"/>
      <c r="D3" s="12"/>
      <c r="E3" s="185"/>
      <c r="F3" s="186"/>
      <c r="G3" s="187"/>
      <c r="H3" s="186"/>
      <c r="I3" s="186"/>
      <c r="J3" s="201"/>
      <c r="K3" s="186"/>
      <c r="L3" s="12"/>
      <c r="M3" s="190"/>
      <c r="N3" s="168"/>
    </row>
    <row r="4" spans="1:14" x14ac:dyDescent="0.25">
      <c r="A4" s="178" t="s">
        <v>8</v>
      </c>
      <c r="B4" s="69" t="s">
        <v>9</v>
      </c>
      <c r="C4" s="184"/>
      <c r="D4" s="12"/>
      <c r="E4" s="86"/>
      <c r="F4" s="62"/>
      <c r="G4" s="157"/>
      <c r="H4" s="62"/>
      <c r="I4" s="62"/>
      <c r="J4" s="202"/>
      <c r="K4" s="62"/>
      <c r="L4" s="12"/>
      <c r="M4" s="191"/>
      <c r="N4" s="65"/>
    </row>
    <row r="5" spans="1:14" x14ac:dyDescent="0.25">
      <c r="A5" s="57" t="s">
        <v>8</v>
      </c>
      <c r="B5" s="70" t="s">
        <v>2233</v>
      </c>
      <c r="C5" s="2">
        <v>4058075459137</v>
      </c>
      <c r="D5" s="84"/>
      <c r="E5" s="85"/>
      <c r="F5" s="14"/>
      <c r="G5" s="156" t="str">
        <f>HYPERLINK("https://www.ledvance.pt/pt/product-datasheet/8457/129570","Ficha Técnica")</f>
        <v>Ficha Técnica</v>
      </c>
      <c r="H5" s="15">
        <v>24</v>
      </c>
      <c r="I5" s="163">
        <v>1500</v>
      </c>
      <c r="J5" s="15">
        <v>14</v>
      </c>
      <c r="K5" s="163" t="s">
        <v>10</v>
      </c>
      <c r="L5" s="15">
        <v>5</v>
      </c>
      <c r="M5" s="188">
        <v>96.7</v>
      </c>
      <c r="N5" s="169" t="s">
        <v>11</v>
      </c>
    </row>
    <row r="6" spans="1:14" x14ac:dyDescent="0.25">
      <c r="A6" s="57" t="s">
        <v>8</v>
      </c>
      <c r="B6" s="70" t="s">
        <v>2234</v>
      </c>
      <c r="C6" s="2">
        <v>4058075459151</v>
      </c>
      <c r="D6" s="84"/>
      <c r="E6" s="85"/>
      <c r="F6" s="14"/>
      <c r="G6" s="156" t="str">
        <f>HYPERLINK("https://ledvance.com/pt/product-datasheet/8457/129573","Ficha Técnica")</f>
        <v>Ficha Técnica</v>
      </c>
      <c r="H6" s="15">
        <v>24</v>
      </c>
      <c r="I6" s="163">
        <v>1600</v>
      </c>
      <c r="J6" s="15">
        <v>14</v>
      </c>
      <c r="K6" s="163" t="s">
        <v>10</v>
      </c>
      <c r="L6" s="15">
        <v>5</v>
      </c>
      <c r="M6" s="188">
        <v>96.7</v>
      </c>
      <c r="N6" s="169" t="s">
        <v>11</v>
      </c>
    </row>
    <row r="7" spans="1:14" x14ac:dyDescent="0.25">
      <c r="A7" s="57" t="s">
        <v>8</v>
      </c>
      <c r="B7" s="70" t="s">
        <v>2235</v>
      </c>
      <c r="C7" s="2">
        <v>4058075459250</v>
      </c>
      <c r="D7" s="84"/>
      <c r="E7" s="85"/>
      <c r="F7" s="14"/>
      <c r="G7" s="156" t="str">
        <f>HYPERLINK("https://ledvance.com/pt/product-datasheet/8457/129576","Ficha Técnica")</f>
        <v>Ficha Técnica</v>
      </c>
      <c r="H7" s="15">
        <v>16</v>
      </c>
      <c r="I7" s="163">
        <v>2400</v>
      </c>
      <c r="J7" s="15">
        <v>21</v>
      </c>
      <c r="K7" s="163" t="s">
        <v>10</v>
      </c>
      <c r="L7" s="15">
        <v>5</v>
      </c>
      <c r="M7" s="188">
        <v>120.9</v>
      </c>
      <c r="N7" s="169" t="s">
        <v>11</v>
      </c>
    </row>
    <row r="8" spans="1:14" x14ac:dyDescent="0.25">
      <c r="A8" s="57" t="s">
        <v>8</v>
      </c>
      <c r="B8" s="70" t="s">
        <v>2236</v>
      </c>
      <c r="C8" s="2">
        <v>4058075459274</v>
      </c>
      <c r="D8" s="84"/>
      <c r="E8" s="85"/>
      <c r="F8" s="14"/>
      <c r="G8" s="156" t="str">
        <f>HYPERLINK("https://ledvance.com/pt/product-datasheet/8457/129579","Ficha Técnica")</f>
        <v>Ficha Técnica</v>
      </c>
      <c r="H8" s="15">
        <v>16</v>
      </c>
      <c r="I8" s="163">
        <v>2520</v>
      </c>
      <c r="J8" s="15">
        <v>21</v>
      </c>
      <c r="K8" s="163" t="s">
        <v>10</v>
      </c>
      <c r="L8" s="15">
        <v>5</v>
      </c>
      <c r="M8" s="188">
        <v>120.9</v>
      </c>
      <c r="N8" s="169" t="s">
        <v>11</v>
      </c>
    </row>
    <row r="9" spans="1:14" x14ac:dyDescent="0.25">
      <c r="A9" s="57" t="s">
        <v>8</v>
      </c>
      <c r="B9" s="70" t="s">
        <v>2237</v>
      </c>
      <c r="C9" s="2">
        <v>4058075459298</v>
      </c>
      <c r="D9" s="84"/>
      <c r="E9" s="85"/>
      <c r="F9" s="14"/>
      <c r="G9" s="156" t="str">
        <f>HYPERLINK("https://ledvance.com/pt/product-datasheet/141832/129582","Ficha Técnica")</f>
        <v>Ficha Técnica</v>
      </c>
      <c r="H9" s="15">
        <v>24</v>
      </c>
      <c r="I9" s="163">
        <v>1500</v>
      </c>
      <c r="J9" s="15">
        <v>14</v>
      </c>
      <c r="K9" s="163" t="s">
        <v>10</v>
      </c>
      <c r="L9" s="15">
        <v>5</v>
      </c>
      <c r="M9" s="188">
        <v>158</v>
      </c>
      <c r="N9" s="169" t="s">
        <v>11</v>
      </c>
    </row>
    <row r="10" spans="1:14" x14ac:dyDescent="0.25">
      <c r="A10" s="57" t="s">
        <v>8</v>
      </c>
      <c r="B10" s="70" t="s">
        <v>2238</v>
      </c>
      <c r="C10" s="2">
        <v>4058075459311</v>
      </c>
      <c r="D10" s="84"/>
      <c r="E10" s="85"/>
      <c r="F10" s="14"/>
      <c r="G10" s="156" t="str">
        <f>HYPERLINK("https://ledvance.com/pt/product-datasheet/141832/129585","Ficha Técnica")</f>
        <v>Ficha Técnica</v>
      </c>
      <c r="H10" s="15">
        <v>24</v>
      </c>
      <c r="I10" s="163">
        <v>1600</v>
      </c>
      <c r="J10" s="15">
        <v>14</v>
      </c>
      <c r="K10" s="163" t="s">
        <v>10</v>
      </c>
      <c r="L10" s="15">
        <v>5</v>
      </c>
      <c r="M10" s="188">
        <v>158</v>
      </c>
      <c r="N10" s="169" t="s">
        <v>11</v>
      </c>
    </row>
    <row r="11" spans="1:14" x14ac:dyDescent="0.25">
      <c r="A11" s="57" t="s">
        <v>8</v>
      </c>
      <c r="B11" s="70" t="s">
        <v>2239</v>
      </c>
      <c r="C11" s="2">
        <v>4058075459830</v>
      </c>
      <c r="D11" s="84"/>
      <c r="E11" s="85"/>
      <c r="F11" s="14"/>
      <c r="G11" s="156" t="str">
        <f>HYPERLINK("https://ledvance.com/pt/product-datasheet/141832/129588","Ficha Técnica")</f>
        <v>Ficha Técnica</v>
      </c>
      <c r="H11" s="15">
        <v>16</v>
      </c>
      <c r="I11" s="163">
        <v>2400</v>
      </c>
      <c r="J11" s="15">
        <v>21</v>
      </c>
      <c r="K11" s="163" t="s">
        <v>10</v>
      </c>
      <c r="L11" s="15">
        <v>5</v>
      </c>
      <c r="M11" s="188">
        <v>182.2</v>
      </c>
      <c r="N11" s="169" t="s">
        <v>11</v>
      </c>
    </row>
    <row r="12" spans="1:14" x14ac:dyDescent="0.25">
      <c r="A12" s="57" t="s">
        <v>8</v>
      </c>
      <c r="B12" s="70" t="s">
        <v>2240</v>
      </c>
      <c r="C12" s="2">
        <v>4058075459854</v>
      </c>
      <c r="D12" s="84"/>
      <c r="E12" s="85"/>
      <c r="F12" s="14"/>
      <c r="G12" s="156" t="str">
        <f>HYPERLINK("https://ledvance.com/pt/product-datasheet/141832/129591","Ficha Técnica")</f>
        <v>Ficha Técnica</v>
      </c>
      <c r="H12" s="15">
        <v>16</v>
      </c>
      <c r="I12" s="163">
        <v>2520</v>
      </c>
      <c r="J12" s="15">
        <v>21</v>
      </c>
      <c r="K12" s="163" t="s">
        <v>10</v>
      </c>
      <c r="L12" s="15">
        <v>5</v>
      </c>
      <c r="M12" s="188">
        <v>182.2</v>
      </c>
      <c r="N12" s="169" t="s">
        <v>11</v>
      </c>
    </row>
    <row r="13" spans="1:14" x14ac:dyDescent="0.25">
      <c r="A13" s="57" t="s">
        <v>8</v>
      </c>
      <c r="B13" s="71" t="s">
        <v>2241</v>
      </c>
      <c r="C13" s="2">
        <v>4058075459892</v>
      </c>
      <c r="D13" s="84"/>
      <c r="E13" s="85"/>
      <c r="F13" s="17"/>
      <c r="G13" s="156" t="str">
        <f>HYPERLINK("https://ledvance.com/pt/product-datasheet/8458/31812","Ficha Técnica")</f>
        <v>Ficha Técnica</v>
      </c>
      <c r="H13" s="15">
        <v>24</v>
      </c>
      <c r="I13" s="163">
        <v>1600</v>
      </c>
      <c r="J13" s="15">
        <v>14</v>
      </c>
      <c r="K13" s="163" t="s">
        <v>10</v>
      </c>
      <c r="L13" s="15">
        <v>5</v>
      </c>
      <c r="M13" s="188">
        <v>158</v>
      </c>
      <c r="N13" s="169" t="s">
        <v>11</v>
      </c>
    </row>
    <row r="14" spans="1:14" x14ac:dyDescent="0.25">
      <c r="A14" s="57" t="s">
        <v>8</v>
      </c>
      <c r="B14" s="71" t="s">
        <v>12</v>
      </c>
      <c r="C14" s="2">
        <v>4058075459397</v>
      </c>
      <c r="D14" s="84"/>
      <c r="E14" s="85"/>
      <c r="F14" s="17"/>
      <c r="G14" s="156" t="str">
        <f>HYPERLINK("https://ledvance.com/pt/product-datasheet/8458/31815","Ficha Técnica")</f>
        <v>Ficha Técnica</v>
      </c>
      <c r="H14" s="15">
        <v>16</v>
      </c>
      <c r="I14" s="163">
        <v>2520</v>
      </c>
      <c r="J14" s="15">
        <v>21</v>
      </c>
      <c r="K14" s="163" t="s">
        <v>10</v>
      </c>
      <c r="L14" s="15">
        <v>5</v>
      </c>
      <c r="M14" s="188">
        <v>182.2</v>
      </c>
      <c r="N14" s="169" t="s">
        <v>11</v>
      </c>
    </row>
    <row r="15" spans="1:14" x14ac:dyDescent="0.25">
      <c r="A15" s="178" t="s">
        <v>8</v>
      </c>
      <c r="B15" s="69" t="s">
        <v>2081</v>
      </c>
      <c r="C15" s="51"/>
      <c r="D15" s="65"/>
      <c r="E15" s="86"/>
      <c r="F15" s="12"/>
      <c r="G15" s="157"/>
      <c r="H15" s="12"/>
      <c r="I15" s="62"/>
      <c r="J15" s="27"/>
      <c r="K15" s="62"/>
      <c r="L15" s="12"/>
      <c r="M15" s="191"/>
      <c r="N15" s="65"/>
    </row>
    <row r="16" spans="1:14" x14ac:dyDescent="0.25">
      <c r="A16" s="57" t="s">
        <v>8</v>
      </c>
      <c r="B16" s="70" t="s">
        <v>13</v>
      </c>
      <c r="C16" s="2">
        <v>4058075104068</v>
      </c>
      <c r="D16" s="84"/>
      <c r="E16" s="85"/>
      <c r="F16" s="14"/>
      <c r="G16" s="156" t="str">
        <f>HYPERLINK("https://ledvance.com/pt/product-datasheet/8459/120986","Ficha Técnica")</f>
        <v>Ficha Técnica</v>
      </c>
      <c r="H16" s="15">
        <v>8</v>
      </c>
      <c r="I16" s="163" t="s">
        <v>1670</v>
      </c>
      <c r="J16" s="15">
        <v>13</v>
      </c>
      <c r="K16" s="163" t="s">
        <v>10</v>
      </c>
      <c r="L16" s="15">
        <v>3</v>
      </c>
      <c r="M16" s="188">
        <v>47.9</v>
      </c>
      <c r="N16" s="169" t="s">
        <v>11</v>
      </c>
    </row>
    <row r="17" spans="1:14" x14ac:dyDescent="0.25">
      <c r="A17" s="57" t="s">
        <v>8</v>
      </c>
      <c r="B17" s="70" t="s">
        <v>14</v>
      </c>
      <c r="C17" s="2">
        <v>4058075104082</v>
      </c>
      <c r="D17" s="84"/>
      <c r="E17" s="85"/>
      <c r="F17" s="16"/>
      <c r="G17" s="156" t="str">
        <f>HYPERLINK("https://ledvance.com/pt/product-datasheet/8459/120992","Ficha Técnica")</f>
        <v>Ficha Técnica</v>
      </c>
      <c r="H17" s="15">
        <v>8</v>
      </c>
      <c r="I17" s="163" t="s">
        <v>1671</v>
      </c>
      <c r="J17" s="15">
        <v>18</v>
      </c>
      <c r="K17" s="163" t="s">
        <v>10</v>
      </c>
      <c r="L17" s="15">
        <v>5</v>
      </c>
      <c r="M17" s="188">
        <v>62.6</v>
      </c>
      <c r="N17" s="169" t="s">
        <v>11</v>
      </c>
    </row>
    <row r="18" spans="1:14" x14ac:dyDescent="0.25">
      <c r="A18" s="57" t="s">
        <v>8</v>
      </c>
      <c r="B18" s="70" t="s">
        <v>15</v>
      </c>
      <c r="C18" s="2">
        <v>4058075104105</v>
      </c>
      <c r="D18" s="84"/>
      <c r="E18" s="85"/>
      <c r="F18" s="16"/>
      <c r="G18" s="156" t="str">
        <f>HYPERLINK("https://ledvance.com/pt/product-datasheet/8459/120998","Ficha Técnica")</f>
        <v>Ficha Técnica</v>
      </c>
      <c r="H18" s="15">
        <v>8</v>
      </c>
      <c r="I18" s="163" t="s">
        <v>1672</v>
      </c>
      <c r="J18" s="15">
        <v>20</v>
      </c>
      <c r="K18" s="163" t="s">
        <v>10</v>
      </c>
      <c r="L18" s="15">
        <v>5</v>
      </c>
      <c r="M18" s="188">
        <v>83.8</v>
      </c>
      <c r="N18" s="169" t="s">
        <v>11</v>
      </c>
    </row>
    <row r="19" spans="1:14" x14ac:dyDescent="0.25">
      <c r="A19" s="178" t="s">
        <v>8</v>
      </c>
      <c r="B19" s="69" t="s">
        <v>2082</v>
      </c>
      <c r="C19" s="51"/>
      <c r="D19" s="65"/>
      <c r="E19" s="86"/>
      <c r="F19" s="12"/>
      <c r="G19" s="157"/>
      <c r="H19" s="12"/>
      <c r="I19" s="62"/>
      <c r="J19" s="27"/>
      <c r="K19" s="62"/>
      <c r="L19" s="12"/>
      <c r="M19" s="191"/>
      <c r="N19" s="65"/>
    </row>
    <row r="20" spans="1:14" x14ac:dyDescent="0.25">
      <c r="A20" s="57" t="s">
        <v>8</v>
      </c>
      <c r="B20" s="70" t="s">
        <v>2242</v>
      </c>
      <c r="C20" s="2">
        <v>4099854490842</v>
      </c>
      <c r="D20" s="84"/>
      <c r="E20" s="87"/>
      <c r="F20" s="14"/>
      <c r="G20" s="156" t="str">
        <f>HYPERLINK("https://ledvance.com/pt/product-datasheet/365303/350704","Ficha Técnica")</f>
        <v>Ficha Técnica</v>
      </c>
      <c r="H20" s="58" t="s">
        <v>2098</v>
      </c>
      <c r="I20" s="164" t="s">
        <v>3982</v>
      </c>
      <c r="J20" s="206" t="s">
        <v>4004</v>
      </c>
      <c r="K20" s="164" t="s">
        <v>20</v>
      </c>
      <c r="L20" s="58">
        <v>5</v>
      </c>
      <c r="M20" s="188">
        <v>27.8</v>
      </c>
      <c r="N20" s="169" t="s">
        <v>11</v>
      </c>
    </row>
    <row r="21" spans="1:14" x14ac:dyDescent="0.25">
      <c r="A21" s="57" t="s">
        <v>8</v>
      </c>
      <c r="B21" s="70" t="s">
        <v>2243</v>
      </c>
      <c r="C21" s="2">
        <v>4099854490941</v>
      </c>
      <c r="D21" s="84"/>
      <c r="E21" s="87"/>
      <c r="F21" s="14"/>
      <c r="G21" s="156" t="str">
        <f>HYPERLINK("https://ledvance.com/pt/product-datasheet/365303/350707","Ficha Técnica")</f>
        <v>Ficha Técnica</v>
      </c>
      <c r="H21" s="58" t="s">
        <v>2224</v>
      </c>
      <c r="I21" s="164" t="s">
        <v>3983</v>
      </c>
      <c r="J21" s="206" t="s">
        <v>3957</v>
      </c>
      <c r="K21" s="164" t="s">
        <v>20</v>
      </c>
      <c r="L21" s="58">
        <v>5</v>
      </c>
      <c r="M21" s="188">
        <v>34.700000000000003</v>
      </c>
      <c r="N21" s="169" t="s">
        <v>11</v>
      </c>
    </row>
    <row r="22" spans="1:14" x14ac:dyDescent="0.25">
      <c r="A22" s="57" t="s">
        <v>8</v>
      </c>
      <c r="B22" s="70" t="s">
        <v>2244</v>
      </c>
      <c r="C22" s="2">
        <v>4099854490989</v>
      </c>
      <c r="D22" s="84"/>
      <c r="E22" s="87"/>
      <c r="F22" s="14"/>
      <c r="G22" s="156" t="str">
        <f>HYPERLINK("https://ledvance.com/pt/product-datasheet/365303/350710","Ficha Técnica")</f>
        <v>Ficha Técnica</v>
      </c>
      <c r="H22" s="58" t="s">
        <v>2224</v>
      </c>
      <c r="I22" s="164" t="s">
        <v>3984</v>
      </c>
      <c r="J22" s="206" t="s">
        <v>3958</v>
      </c>
      <c r="K22" s="164" t="s">
        <v>20</v>
      </c>
      <c r="L22" s="58">
        <v>5</v>
      </c>
      <c r="M22" s="188">
        <v>47.2</v>
      </c>
      <c r="N22" s="169" t="s">
        <v>11</v>
      </c>
    </row>
    <row r="23" spans="1:14" x14ac:dyDescent="0.25">
      <c r="A23" s="57" t="s">
        <v>8</v>
      </c>
      <c r="B23" s="70" t="s">
        <v>2245</v>
      </c>
      <c r="C23" s="2">
        <v>4099854491047</v>
      </c>
      <c r="D23" s="84"/>
      <c r="E23" s="87"/>
      <c r="F23" s="14"/>
      <c r="G23" s="156" t="str">
        <f>HYPERLINK("https://ledvance.com/pt/product-datasheet/365303/350713","Ficha Técnica")</f>
        <v>Ficha Técnica</v>
      </c>
      <c r="H23" s="58" t="s">
        <v>2224</v>
      </c>
      <c r="I23" s="164" t="s">
        <v>3985</v>
      </c>
      <c r="J23" s="206" t="s">
        <v>3959</v>
      </c>
      <c r="K23" s="164" t="s">
        <v>20</v>
      </c>
      <c r="L23" s="58">
        <v>5</v>
      </c>
      <c r="M23" s="188">
        <v>67.8</v>
      </c>
      <c r="N23" s="169" t="s">
        <v>11</v>
      </c>
    </row>
    <row r="24" spans="1:14" x14ac:dyDescent="0.25">
      <c r="A24" s="57" t="s">
        <v>8</v>
      </c>
      <c r="B24" s="70" t="s">
        <v>2246</v>
      </c>
      <c r="C24" s="2">
        <v>4099854490903</v>
      </c>
      <c r="D24" s="84"/>
      <c r="E24" s="87"/>
      <c r="F24" s="14"/>
      <c r="G24" s="156" t="str">
        <f>HYPERLINK("https://ledvance.com/pt/product-datasheet/365307/350739","Ficha Técnica")</f>
        <v>Ficha Técnica</v>
      </c>
      <c r="H24" s="58" t="s">
        <v>2098</v>
      </c>
      <c r="I24" s="164" t="s">
        <v>3982</v>
      </c>
      <c r="J24" s="206" t="s">
        <v>4004</v>
      </c>
      <c r="K24" s="164" t="s">
        <v>20</v>
      </c>
      <c r="L24" s="58">
        <v>5</v>
      </c>
      <c r="M24" s="188">
        <v>50.3</v>
      </c>
      <c r="N24" s="169" t="s">
        <v>11</v>
      </c>
    </row>
    <row r="25" spans="1:14" x14ac:dyDescent="0.25">
      <c r="A25" s="57" t="s">
        <v>8</v>
      </c>
      <c r="B25" s="70" t="s">
        <v>2247</v>
      </c>
      <c r="C25" s="2">
        <v>4099854491085</v>
      </c>
      <c r="D25" s="84"/>
      <c r="E25" s="87"/>
      <c r="F25" s="14"/>
      <c r="G25" s="156" t="str">
        <f>HYPERLINK("https://ledvance.com/pt/product-datasheet/365307/350745","Ficha Técnica")</f>
        <v>Ficha Técnica</v>
      </c>
      <c r="H25" s="58" t="s">
        <v>2224</v>
      </c>
      <c r="I25" s="164" t="s">
        <v>3983</v>
      </c>
      <c r="J25" s="206" t="s">
        <v>3957</v>
      </c>
      <c r="K25" s="164" t="s">
        <v>20</v>
      </c>
      <c r="L25" s="58">
        <v>5</v>
      </c>
      <c r="M25" s="188">
        <v>66</v>
      </c>
      <c r="N25" s="169" t="s">
        <v>11</v>
      </c>
    </row>
    <row r="26" spans="1:14" x14ac:dyDescent="0.25">
      <c r="A26" s="57" t="s">
        <v>8</v>
      </c>
      <c r="B26" s="70" t="s">
        <v>2248</v>
      </c>
      <c r="C26" s="2">
        <v>4099854491122</v>
      </c>
      <c r="D26" s="84"/>
      <c r="E26" s="87"/>
      <c r="F26" s="14"/>
      <c r="G26" s="156" t="str">
        <f>HYPERLINK("https://ledvance.com/pt/product-datasheet/365307/350751","Ficha Técnica")</f>
        <v>Ficha Técnica</v>
      </c>
      <c r="H26" s="58" t="s">
        <v>2224</v>
      </c>
      <c r="I26" s="164" t="s">
        <v>3984</v>
      </c>
      <c r="J26" s="206" t="s">
        <v>3958</v>
      </c>
      <c r="K26" s="164" t="s">
        <v>20</v>
      </c>
      <c r="L26" s="58">
        <v>5</v>
      </c>
      <c r="M26" s="188">
        <v>89.7</v>
      </c>
      <c r="N26" s="169" t="s">
        <v>11</v>
      </c>
    </row>
    <row r="27" spans="1:14" x14ac:dyDescent="0.25">
      <c r="A27" s="57" t="s">
        <v>8</v>
      </c>
      <c r="B27" s="70" t="s">
        <v>2249</v>
      </c>
      <c r="C27" s="2">
        <v>4099854491160</v>
      </c>
      <c r="D27" s="84"/>
      <c r="E27" s="87"/>
      <c r="F27" s="14"/>
      <c r="G27" s="156" t="str">
        <f>HYPERLINK("https://ledvance.com/pt/product-datasheet/365307/350756","Ficha Técnica")</f>
        <v>Ficha Técnica</v>
      </c>
      <c r="H27" s="58" t="s">
        <v>2225</v>
      </c>
      <c r="I27" s="164" t="s">
        <v>3985</v>
      </c>
      <c r="J27" s="206" t="s">
        <v>3959</v>
      </c>
      <c r="K27" s="164" t="s">
        <v>20</v>
      </c>
      <c r="L27" s="58">
        <v>5</v>
      </c>
      <c r="M27" s="188">
        <v>116.6</v>
      </c>
      <c r="N27" s="169" t="s">
        <v>11</v>
      </c>
    </row>
    <row r="28" spans="1:14" x14ac:dyDescent="0.25">
      <c r="A28" s="178" t="s">
        <v>8</v>
      </c>
      <c r="B28" s="69" t="s">
        <v>2083</v>
      </c>
      <c r="C28" s="51"/>
      <c r="D28" s="65"/>
      <c r="E28" s="86"/>
      <c r="F28" s="12"/>
      <c r="G28" s="157"/>
      <c r="H28" s="12"/>
      <c r="I28" s="62"/>
      <c r="J28" s="27"/>
      <c r="K28" s="62"/>
      <c r="L28" s="12"/>
      <c r="M28" s="191"/>
      <c r="N28" s="65"/>
    </row>
    <row r="29" spans="1:14" x14ac:dyDescent="0.25">
      <c r="A29" s="57" t="s">
        <v>8</v>
      </c>
      <c r="B29" s="70" t="s">
        <v>2250</v>
      </c>
      <c r="C29" s="2">
        <v>4099854490866</v>
      </c>
      <c r="D29" s="84"/>
      <c r="E29" s="87"/>
      <c r="F29" s="14"/>
      <c r="G29" s="156" t="str">
        <f>HYPERLINK("https://ledvance.com/pt/product-datasheet/365304/350716","Ficha Técnica")</f>
        <v>Ficha Técnica</v>
      </c>
      <c r="H29" s="58" t="s">
        <v>2098</v>
      </c>
      <c r="I29" s="164" t="s">
        <v>3982</v>
      </c>
      <c r="J29" s="206" t="s">
        <v>4004</v>
      </c>
      <c r="K29" s="164" t="s">
        <v>20</v>
      </c>
      <c r="L29" s="58">
        <v>5</v>
      </c>
      <c r="M29" s="188">
        <v>62.4</v>
      </c>
      <c r="N29" s="169" t="s">
        <v>11</v>
      </c>
    </row>
    <row r="30" spans="1:14" x14ac:dyDescent="0.25">
      <c r="A30" s="57" t="s">
        <v>8</v>
      </c>
      <c r="B30" s="70" t="s">
        <v>2251</v>
      </c>
      <c r="C30" s="2">
        <v>4099854490965</v>
      </c>
      <c r="D30" s="84"/>
      <c r="E30" s="87"/>
      <c r="F30" s="14"/>
      <c r="G30" s="156" t="str">
        <f>HYPERLINK("https://ledvance.com/pt/product-datasheet/365304/350722","Ficha Técnica")</f>
        <v>Ficha Técnica</v>
      </c>
      <c r="H30" s="58" t="s">
        <v>2224</v>
      </c>
      <c r="I30" s="164" t="s">
        <v>3983</v>
      </c>
      <c r="J30" s="206" t="s">
        <v>3957</v>
      </c>
      <c r="K30" s="164" t="s">
        <v>20</v>
      </c>
      <c r="L30" s="58">
        <v>5</v>
      </c>
      <c r="M30" s="188">
        <v>76.3</v>
      </c>
      <c r="N30" s="169" t="s">
        <v>11</v>
      </c>
    </row>
    <row r="31" spans="1:14" x14ac:dyDescent="0.25">
      <c r="A31" s="57" t="s">
        <v>8</v>
      </c>
      <c r="B31" s="70" t="s">
        <v>2252</v>
      </c>
      <c r="C31" s="2">
        <v>4099854491009</v>
      </c>
      <c r="D31" s="84"/>
      <c r="E31" s="87"/>
      <c r="F31" s="14"/>
      <c r="G31" s="156" t="str">
        <f>HYPERLINK("https://ledvance.com/pt/product-datasheet/365304/350727","Ficha Técnica")</f>
        <v>Ficha Técnica</v>
      </c>
      <c r="H31" s="58" t="s">
        <v>2224</v>
      </c>
      <c r="I31" s="164" t="s">
        <v>3984</v>
      </c>
      <c r="J31" s="206" t="s">
        <v>3958</v>
      </c>
      <c r="K31" s="164" t="s">
        <v>20</v>
      </c>
      <c r="L31" s="58">
        <v>5</v>
      </c>
      <c r="M31" s="188">
        <v>88.8</v>
      </c>
      <c r="N31" s="169" t="s">
        <v>11</v>
      </c>
    </row>
    <row r="32" spans="1:14" x14ac:dyDescent="0.25">
      <c r="A32" s="57" t="s">
        <v>8</v>
      </c>
      <c r="B32" s="70" t="s">
        <v>2253</v>
      </c>
      <c r="C32" s="2">
        <v>4099854491061</v>
      </c>
      <c r="D32" s="84"/>
      <c r="E32" s="87"/>
      <c r="F32" s="14"/>
      <c r="G32" s="156" t="str">
        <f>HYPERLINK("https://ledvance.com/pt/product-datasheet/365304/350733","Ficha Técnica")</f>
        <v>Ficha Técnica</v>
      </c>
      <c r="H32" s="58" t="s">
        <v>2224</v>
      </c>
      <c r="I32" s="164" t="s">
        <v>3985</v>
      </c>
      <c r="J32" s="206" t="s">
        <v>3959</v>
      </c>
      <c r="K32" s="164" t="s">
        <v>20</v>
      </c>
      <c r="L32" s="58">
        <v>5</v>
      </c>
      <c r="M32" s="188">
        <v>109.4</v>
      </c>
      <c r="N32" s="169" t="s">
        <v>11</v>
      </c>
    </row>
    <row r="33" spans="1:14" x14ac:dyDescent="0.25">
      <c r="A33" s="57" t="s">
        <v>8</v>
      </c>
      <c r="B33" s="70" t="s">
        <v>2254</v>
      </c>
      <c r="C33" s="2">
        <v>4099854490927</v>
      </c>
      <c r="D33" s="84"/>
      <c r="E33" s="87"/>
      <c r="F33" s="14"/>
      <c r="G33" s="156" t="str">
        <f>HYPERLINK("https://ledvance.com/pt/product-datasheet/365308/350762","Ficha Técnica")</f>
        <v>Ficha Técnica</v>
      </c>
      <c r="H33" s="58" t="s">
        <v>2098</v>
      </c>
      <c r="I33" s="164" t="s">
        <v>3982</v>
      </c>
      <c r="J33" s="206" t="s">
        <v>4004</v>
      </c>
      <c r="K33" s="164" t="s">
        <v>20</v>
      </c>
      <c r="L33" s="58">
        <v>5</v>
      </c>
      <c r="M33" s="188">
        <v>84.9</v>
      </c>
      <c r="N33" s="169" t="s">
        <v>11</v>
      </c>
    </row>
    <row r="34" spans="1:14" x14ac:dyDescent="0.25">
      <c r="A34" s="57" t="s">
        <v>8</v>
      </c>
      <c r="B34" s="70" t="s">
        <v>2255</v>
      </c>
      <c r="C34" s="2">
        <v>4099854491108</v>
      </c>
      <c r="D34" s="84"/>
      <c r="E34" s="87"/>
      <c r="F34" s="14"/>
      <c r="G34" s="156" t="str">
        <f>HYPERLINK("https://ledvance.com/pt/product-datasheet/365308/350769","Ficha Técnica")</f>
        <v>Ficha Técnica</v>
      </c>
      <c r="H34" s="58" t="s">
        <v>2224</v>
      </c>
      <c r="I34" s="164" t="s">
        <v>3983</v>
      </c>
      <c r="J34" s="206" t="s">
        <v>3957</v>
      </c>
      <c r="K34" s="164" t="s">
        <v>20</v>
      </c>
      <c r="L34" s="58">
        <v>5</v>
      </c>
      <c r="M34" s="188">
        <v>107.6</v>
      </c>
      <c r="N34" s="169" t="s">
        <v>11</v>
      </c>
    </row>
    <row r="35" spans="1:14" x14ac:dyDescent="0.25">
      <c r="A35" s="63" t="s">
        <v>8</v>
      </c>
      <c r="B35" s="70" t="s">
        <v>2256</v>
      </c>
      <c r="C35" s="2">
        <v>4099854491146</v>
      </c>
      <c r="D35" s="84"/>
      <c r="E35" s="87"/>
      <c r="F35" s="14"/>
      <c r="G35" s="156" t="str">
        <f>HYPERLINK("https://ledvance.com/pt/product-datasheet/365308/350775","Ficha Técnica")</f>
        <v>Ficha Técnica</v>
      </c>
      <c r="H35" s="58" t="s">
        <v>2224</v>
      </c>
      <c r="I35" s="164" t="s">
        <v>3984</v>
      </c>
      <c r="J35" s="206" t="s">
        <v>3958</v>
      </c>
      <c r="K35" s="164" t="s">
        <v>20</v>
      </c>
      <c r="L35" s="58">
        <v>5</v>
      </c>
      <c r="M35" s="188">
        <v>131.30000000000001</v>
      </c>
      <c r="N35" s="169" t="s">
        <v>11</v>
      </c>
    </row>
    <row r="36" spans="1:14" x14ac:dyDescent="0.25">
      <c r="A36" s="63" t="s">
        <v>8</v>
      </c>
      <c r="B36" s="70" t="s">
        <v>2257</v>
      </c>
      <c r="C36" s="2">
        <v>4099854491184</v>
      </c>
      <c r="D36" s="84"/>
      <c r="E36" s="87"/>
      <c r="F36" s="14"/>
      <c r="G36" s="156" t="str">
        <f>HYPERLINK("https://ledvance.com/pt/product-datasheet/365308/350781","Ficha Técnica")</f>
        <v>Ficha Técnica</v>
      </c>
      <c r="H36" s="58" t="s">
        <v>2225</v>
      </c>
      <c r="I36" s="164" t="s">
        <v>3985</v>
      </c>
      <c r="J36" s="206" t="s">
        <v>3959</v>
      </c>
      <c r="K36" s="164" t="s">
        <v>20</v>
      </c>
      <c r="L36" s="58">
        <v>5</v>
      </c>
      <c r="M36" s="188">
        <v>158.19999999999999</v>
      </c>
      <c r="N36" s="169" t="s">
        <v>11</v>
      </c>
    </row>
    <row r="37" spans="1:14" x14ac:dyDescent="0.25">
      <c r="A37" s="66" t="s">
        <v>40</v>
      </c>
      <c r="B37" s="69" t="s">
        <v>2119</v>
      </c>
      <c r="C37" s="51"/>
      <c r="D37" s="65"/>
      <c r="E37" s="86"/>
      <c r="F37" s="12"/>
      <c r="G37" s="157"/>
      <c r="H37" s="12"/>
      <c r="I37" s="62"/>
      <c r="J37" s="27"/>
      <c r="K37" s="62"/>
      <c r="L37" s="12"/>
      <c r="M37" s="191"/>
      <c r="N37" s="65"/>
    </row>
    <row r="38" spans="1:14" x14ac:dyDescent="0.25">
      <c r="A38" s="63" t="s">
        <v>40</v>
      </c>
      <c r="B38" s="70" t="s">
        <v>2022</v>
      </c>
      <c r="C38" s="2">
        <v>4099854515286</v>
      </c>
      <c r="D38" s="84"/>
      <c r="E38" s="87"/>
      <c r="F38" s="14"/>
      <c r="G38" s="156" t="str">
        <f>HYPERLINK("https://ledvance.com/pt/product-datasheet/365313/356820","Ficha Técnica")</f>
        <v>Ficha Técnica</v>
      </c>
      <c r="H38" s="58" t="s">
        <v>2104</v>
      </c>
      <c r="I38" s="164"/>
      <c r="J38" s="206"/>
      <c r="K38" s="164"/>
      <c r="L38" s="58"/>
      <c r="M38" s="188">
        <v>4.9000000000000004</v>
      </c>
      <c r="N38" s="169" t="s">
        <v>11</v>
      </c>
    </row>
    <row r="39" spans="1:14" x14ac:dyDescent="0.25">
      <c r="A39" s="63" t="s">
        <v>40</v>
      </c>
      <c r="B39" s="70" t="s">
        <v>2023</v>
      </c>
      <c r="C39" s="2">
        <v>4099854515408</v>
      </c>
      <c r="D39" s="84"/>
      <c r="E39" s="87"/>
      <c r="F39" s="14"/>
      <c r="G39" s="156" t="str">
        <f>HYPERLINK("https://ledvance.com/pt/product-datasheet/365313/356836","Ficha Técnica")</f>
        <v>Ficha Técnica</v>
      </c>
      <c r="H39" s="58" t="s">
        <v>2104</v>
      </c>
      <c r="I39" s="164"/>
      <c r="J39" s="206"/>
      <c r="K39" s="164"/>
      <c r="L39" s="58"/>
      <c r="M39" s="188">
        <v>4.9000000000000004</v>
      </c>
      <c r="N39" s="169" t="s">
        <v>11</v>
      </c>
    </row>
    <row r="40" spans="1:14" x14ac:dyDescent="0.25">
      <c r="A40" s="63" t="s">
        <v>40</v>
      </c>
      <c r="B40" s="70" t="s">
        <v>2024</v>
      </c>
      <c r="C40" s="2">
        <v>4099854515316</v>
      </c>
      <c r="D40" s="84"/>
      <c r="E40" s="87"/>
      <c r="F40" s="14"/>
      <c r="G40" s="156" t="str">
        <f>HYPERLINK("https://ledvance.com/pt/product-datasheet/365313/356824","Ficha Técnica")</f>
        <v>Ficha Técnica</v>
      </c>
      <c r="H40" s="58" t="s">
        <v>2104</v>
      </c>
      <c r="I40" s="164"/>
      <c r="J40" s="206"/>
      <c r="K40" s="164"/>
      <c r="L40" s="58"/>
      <c r="M40" s="188">
        <v>6.2</v>
      </c>
      <c r="N40" s="169" t="s">
        <v>11</v>
      </c>
    </row>
    <row r="41" spans="1:14" x14ac:dyDescent="0.25">
      <c r="A41" s="63" t="s">
        <v>40</v>
      </c>
      <c r="B41" s="70" t="s">
        <v>2025</v>
      </c>
      <c r="C41" s="2">
        <v>4099854515439</v>
      </c>
      <c r="D41" s="84"/>
      <c r="E41" s="87"/>
      <c r="F41" s="14"/>
      <c r="G41" s="156" t="str">
        <f>HYPERLINK("https://ledvance.com/pt/product-datasheet/365313/356840","Ficha Técnica")</f>
        <v>Ficha Técnica</v>
      </c>
      <c r="H41" s="58" t="s">
        <v>2104</v>
      </c>
      <c r="I41" s="164"/>
      <c r="J41" s="206"/>
      <c r="K41" s="164"/>
      <c r="L41" s="58"/>
      <c r="M41" s="188">
        <v>6.2</v>
      </c>
      <c r="N41" s="169" t="s">
        <v>11</v>
      </c>
    </row>
    <row r="42" spans="1:14" x14ac:dyDescent="0.25">
      <c r="A42" s="63" t="s">
        <v>40</v>
      </c>
      <c r="B42" s="70" t="s">
        <v>2026</v>
      </c>
      <c r="C42" s="2">
        <v>4099854515347</v>
      </c>
      <c r="D42" s="84"/>
      <c r="E42" s="87"/>
      <c r="F42" s="14"/>
      <c r="G42" s="156" t="str">
        <f>HYPERLINK("https://ledvance.com/pt/product-datasheet/365313/356828","Ficha Técnica")</f>
        <v>Ficha Técnica</v>
      </c>
      <c r="H42" s="58" t="s">
        <v>2104</v>
      </c>
      <c r="I42" s="164"/>
      <c r="J42" s="206"/>
      <c r="K42" s="164"/>
      <c r="L42" s="58"/>
      <c r="M42" s="188">
        <v>7.4</v>
      </c>
      <c r="N42" s="169" t="s">
        <v>11</v>
      </c>
    </row>
    <row r="43" spans="1:14" x14ac:dyDescent="0.25">
      <c r="A43" s="63" t="s">
        <v>40</v>
      </c>
      <c r="B43" s="70" t="s">
        <v>2027</v>
      </c>
      <c r="C43" s="2">
        <v>4099854515460</v>
      </c>
      <c r="D43" s="84"/>
      <c r="E43" s="87"/>
      <c r="F43" s="14"/>
      <c r="G43" s="156" t="str">
        <f>HYPERLINK("https://ledvance.com/pt/product-datasheet/365313/356844","Ficha Técnica")</f>
        <v>Ficha Técnica</v>
      </c>
      <c r="H43" s="58" t="s">
        <v>2104</v>
      </c>
      <c r="I43" s="164"/>
      <c r="J43" s="206"/>
      <c r="K43" s="164"/>
      <c r="L43" s="58"/>
      <c r="M43" s="188">
        <v>7.4</v>
      </c>
      <c r="N43" s="169" t="s">
        <v>11</v>
      </c>
    </row>
    <row r="44" spans="1:14" x14ac:dyDescent="0.25">
      <c r="A44" s="63" t="s">
        <v>40</v>
      </c>
      <c r="B44" s="70" t="s">
        <v>2028</v>
      </c>
      <c r="C44" s="2">
        <v>4099854515378</v>
      </c>
      <c r="D44" s="84"/>
      <c r="E44" s="87"/>
      <c r="F44" s="14"/>
      <c r="G44" s="156" t="str">
        <f>HYPERLINK("https://ledvance.com/pt/product-datasheet/365313/356832","Ficha Técnica")</f>
        <v>Ficha Técnica</v>
      </c>
      <c r="H44" s="58" t="s">
        <v>2104</v>
      </c>
      <c r="I44" s="164"/>
      <c r="J44" s="206"/>
      <c r="K44" s="164"/>
      <c r="L44" s="58"/>
      <c r="M44" s="188">
        <v>10.9</v>
      </c>
      <c r="N44" s="169" t="s">
        <v>11</v>
      </c>
    </row>
    <row r="45" spans="1:14" x14ac:dyDescent="0.25">
      <c r="A45" s="63" t="s">
        <v>40</v>
      </c>
      <c r="B45" s="70" t="s">
        <v>2029</v>
      </c>
      <c r="C45" s="2">
        <v>4099854515491</v>
      </c>
      <c r="D45" s="84"/>
      <c r="E45" s="87"/>
      <c r="F45" s="14"/>
      <c r="G45" s="156" t="str">
        <f>HYPERLINK("https://ledvance.com/pt/product-datasheet/365313/356848","Ficha Técnica")</f>
        <v>Ficha Técnica</v>
      </c>
      <c r="H45" s="58" t="s">
        <v>2104</v>
      </c>
      <c r="I45" s="164"/>
      <c r="J45" s="206"/>
      <c r="K45" s="164"/>
      <c r="L45" s="58"/>
      <c r="M45" s="188">
        <v>10.9</v>
      </c>
      <c r="N45" s="169" t="s">
        <v>11</v>
      </c>
    </row>
    <row r="46" spans="1:14" x14ac:dyDescent="0.25">
      <c r="A46" s="63" t="s">
        <v>40</v>
      </c>
      <c r="B46" s="70" t="s">
        <v>2030</v>
      </c>
      <c r="C46" s="2">
        <v>4099854499920</v>
      </c>
      <c r="D46" s="84"/>
      <c r="E46" s="87"/>
      <c r="F46" s="14"/>
      <c r="G46" s="156" t="str">
        <f>HYPERLINK("https://ledvance.com/pt/product-datasheet/365311/353178","Ficha Técnica")</f>
        <v>Ficha Técnica</v>
      </c>
      <c r="H46" s="58" t="s">
        <v>2100</v>
      </c>
      <c r="I46" s="164"/>
      <c r="J46" s="206"/>
      <c r="K46" s="164"/>
      <c r="L46" s="58"/>
      <c r="M46" s="188">
        <v>18.7</v>
      </c>
      <c r="N46" s="169" t="s">
        <v>11</v>
      </c>
    </row>
    <row r="47" spans="1:14" x14ac:dyDescent="0.25">
      <c r="A47" s="63" t="s">
        <v>40</v>
      </c>
      <c r="B47" s="70" t="s">
        <v>2031</v>
      </c>
      <c r="C47" s="2">
        <v>4099854499944</v>
      </c>
      <c r="D47" s="84"/>
      <c r="E47" s="87"/>
      <c r="F47" s="14"/>
      <c r="G47" s="156" t="str">
        <f>HYPERLINK("https://ledvance.com/pt/product-datasheet/365311/353190","Ficha Técnica")</f>
        <v>Ficha Técnica</v>
      </c>
      <c r="H47" s="58" t="s">
        <v>2100</v>
      </c>
      <c r="I47" s="164"/>
      <c r="J47" s="206"/>
      <c r="K47" s="164"/>
      <c r="L47" s="58"/>
      <c r="M47" s="188">
        <v>18.7</v>
      </c>
      <c r="N47" s="169" t="s">
        <v>11</v>
      </c>
    </row>
    <row r="48" spans="1:14" x14ac:dyDescent="0.25">
      <c r="A48" s="63" t="s">
        <v>40</v>
      </c>
      <c r="B48" s="70" t="s">
        <v>2032</v>
      </c>
      <c r="C48" s="2">
        <v>4099854499906</v>
      </c>
      <c r="D48" s="84"/>
      <c r="E48" s="87"/>
      <c r="F48" s="14"/>
      <c r="G48" s="156" t="str">
        <f>HYPERLINK("https://ledvance.com/pt/product-datasheet/365311/353166","Ficha Técnica")</f>
        <v>Ficha Técnica</v>
      </c>
      <c r="H48" s="58" t="s">
        <v>2100</v>
      </c>
      <c r="I48" s="164"/>
      <c r="J48" s="206"/>
      <c r="K48" s="164"/>
      <c r="L48" s="58"/>
      <c r="M48" s="188">
        <v>18.7</v>
      </c>
      <c r="N48" s="169" t="s">
        <v>11</v>
      </c>
    </row>
    <row r="49" spans="1:14" x14ac:dyDescent="0.25">
      <c r="A49" s="63" t="s">
        <v>40</v>
      </c>
      <c r="B49" s="70" t="s">
        <v>2033</v>
      </c>
      <c r="C49" s="2">
        <v>4099854499982</v>
      </c>
      <c r="D49" s="84"/>
      <c r="E49" s="87"/>
      <c r="F49" s="14"/>
      <c r="G49" s="156" t="str">
        <f>HYPERLINK("https://ledvance.com/pt/product-datasheet/365311/353181","Ficha Técnica")</f>
        <v>Ficha Técnica</v>
      </c>
      <c r="H49" s="58" t="s">
        <v>2225</v>
      </c>
      <c r="I49" s="164"/>
      <c r="J49" s="206"/>
      <c r="K49" s="164"/>
      <c r="L49" s="58"/>
      <c r="M49" s="188">
        <v>26</v>
      </c>
      <c r="N49" s="169" t="s">
        <v>11</v>
      </c>
    </row>
    <row r="50" spans="1:14" x14ac:dyDescent="0.25">
      <c r="A50" s="63" t="s">
        <v>40</v>
      </c>
      <c r="B50" s="70" t="s">
        <v>2034</v>
      </c>
      <c r="C50" s="2">
        <v>4099854500008</v>
      </c>
      <c r="D50" s="84"/>
      <c r="E50" s="87"/>
      <c r="F50" s="14"/>
      <c r="G50" s="156" t="str">
        <f>HYPERLINK("https://ledvance.com/pt/product-datasheet/365311/353193","Ficha Técnica")</f>
        <v>Ficha Técnica</v>
      </c>
      <c r="H50" s="58" t="s">
        <v>2225</v>
      </c>
      <c r="I50" s="164"/>
      <c r="J50" s="206"/>
      <c r="K50" s="164"/>
      <c r="L50" s="58"/>
      <c r="M50" s="188">
        <v>26</v>
      </c>
      <c r="N50" s="169" t="s">
        <v>11</v>
      </c>
    </row>
    <row r="51" spans="1:14" x14ac:dyDescent="0.25">
      <c r="A51" s="63" t="s">
        <v>40</v>
      </c>
      <c r="B51" s="70" t="s">
        <v>2035</v>
      </c>
      <c r="C51" s="2">
        <v>4099854499968</v>
      </c>
      <c r="D51" s="84"/>
      <c r="E51" s="87"/>
      <c r="F51" s="14"/>
      <c r="G51" s="156" t="str">
        <f>HYPERLINK("https://ledvance.com/pt/product-datasheet/365311/353169","Ficha Técnica")</f>
        <v>Ficha Técnica</v>
      </c>
      <c r="H51" s="58" t="s">
        <v>2225</v>
      </c>
      <c r="I51" s="164"/>
      <c r="J51" s="206"/>
      <c r="K51" s="164"/>
      <c r="L51" s="58"/>
      <c r="M51" s="188">
        <v>26</v>
      </c>
      <c r="N51" s="169" t="s">
        <v>11</v>
      </c>
    </row>
    <row r="52" spans="1:14" x14ac:dyDescent="0.25">
      <c r="A52" s="63" t="s">
        <v>40</v>
      </c>
      <c r="B52" s="70" t="s">
        <v>2036</v>
      </c>
      <c r="C52" s="2">
        <v>4099854500046</v>
      </c>
      <c r="D52" s="84"/>
      <c r="E52" s="87"/>
      <c r="F52" s="14"/>
      <c r="G52" s="156" t="str">
        <f>HYPERLINK("https://ledvance.com/pt/product-datasheet/365311/353184","Ficha Técnica")</f>
        <v>Ficha Técnica</v>
      </c>
      <c r="H52" s="58" t="s">
        <v>2056</v>
      </c>
      <c r="I52" s="164"/>
      <c r="J52" s="206"/>
      <c r="K52" s="164"/>
      <c r="L52" s="58"/>
      <c r="M52" s="188">
        <v>36.6</v>
      </c>
      <c r="N52" s="169" t="s">
        <v>11</v>
      </c>
    </row>
    <row r="53" spans="1:14" x14ac:dyDescent="0.25">
      <c r="A53" s="63" t="s">
        <v>40</v>
      </c>
      <c r="B53" s="70" t="s">
        <v>2037</v>
      </c>
      <c r="C53" s="2">
        <v>4099854500060</v>
      </c>
      <c r="D53" s="84"/>
      <c r="E53" s="87"/>
      <c r="F53" s="14"/>
      <c r="G53" s="156" t="str">
        <f>HYPERLINK("https://ledvance.com/pt/product-datasheet/365311/353196","Ficha Técnica")</f>
        <v>Ficha Técnica</v>
      </c>
      <c r="H53" s="58" t="s">
        <v>2056</v>
      </c>
      <c r="I53" s="164"/>
      <c r="J53" s="206"/>
      <c r="K53" s="164"/>
      <c r="L53" s="58"/>
      <c r="M53" s="188">
        <v>36.6</v>
      </c>
      <c r="N53" s="169" t="s">
        <v>11</v>
      </c>
    </row>
    <row r="54" spans="1:14" x14ac:dyDescent="0.25">
      <c r="A54" s="63" t="s">
        <v>40</v>
      </c>
      <c r="B54" s="70" t="s">
        <v>2038</v>
      </c>
      <c r="C54" s="2">
        <v>4099854500022</v>
      </c>
      <c r="D54" s="84"/>
      <c r="E54" s="87"/>
      <c r="F54" s="14"/>
      <c r="G54" s="156" t="str">
        <f>HYPERLINK("https://ledvance.com/pt/product-datasheet/365311/353172","Ficha Técnica")</f>
        <v>Ficha Técnica</v>
      </c>
      <c r="H54" s="58" t="s">
        <v>2056</v>
      </c>
      <c r="I54" s="164"/>
      <c r="J54" s="206"/>
      <c r="K54" s="164"/>
      <c r="L54" s="58"/>
      <c r="M54" s="188">
        <v>36.6</v>
      </c>
      <c r="N54" s="169" t="s">
        <v>11</v>
      </c>
    </row>
    <row r="55" spans="1:14" x14ac:dyDescent="0.25">
      <c r="A55" s="63" t="s">
        <v>40</v>
      </c>
      <c r="B55" s="70" t="s">
        <v>2039</v>
      </c>
      <c r="C55" s="2">
        <v>4099854500169</v>
      </c>
      <c r="D55" s="84"/>
      <c r="E55" s="87"/>
      <c r="F55" s="14"/>
      <c r="G55" s="156" t="str">
        <f>HYPERLINK("https://ledvance.com/pt/product-datasheet/365311/353187","Ficha Técnica")</f>
        <v>Ficha Técnica</v>
      </c>
      <c r="H55" s="58" t="s">
        <v>2056</v>
      </c>
      <c r="I55" s="164"/>
      <c r="J55" s="206"/>
      <c r="K55" s="164"/>
      <c r="L55" s="58"/>
      <c r="M55" s="188">
        <v>44.7</v>
      </c>
      <c r="N55" s="169" t="s">
        <v>11</v>
      </c>
    </row>
    <row r="56" spans="1:14" x14ac:dyDescent="0.25">
      <c r="A56" s="63" t="s">
        <v>40</v>
      </c>
      <c r="B56" s="70" t="s">
        <v>2040</v>
      </c>
      <c r="C56" s="2">
        <v>4099854500183</v>
      </c>
      <c r="D56" s="84"/>
      <c r="E56" s="87"/>
      <c r="F56" s="14"/>
      <c r="G56" s="156" t="str">
        <f>HYPERLINK("https://ledvance.com/pt/product-datasheet/365311/353199","Ficha Técnica")</f>
        <v>Ficha Técnica</v>
      </c>
      <c r="H56" s="58" t="s">
        <v>2056</v>
      </c>
      <c r="I56" s="164"/>
      <c r="J56" s="206"/>
      <c r="K56" s="164"/>
      <c r="L56" s="58"/>
      <c r="M56" s="188">
        <v>44.7</v>
      </c>
      <c r="N56" s="169" t="s">
        <v>11</v>
      </c>
    </row>
    <row r="57" spans="1:14" x14ac:dyDescent="0.25">
      <c r="A57" s="63" t="s">
        <v>40</v>
      </c>
      <c r="B57" s="70" t="s">
        <v>2041</v>
      </c>
      <c r="C57" s="2">
        <v>4099854500145</v>
      </c>
      <c r="D57" s="84"/>
      <c r="E57" s="87"/>
      <c r="F57" s="14"/>
      <c r="G57" s="156" t="str">
        <f>HYPERLINK("https://ledvance.com/pt/product-datasheet/365311/353175","Ficha Técnica")</f>
        <v>Ficha Técnica</v>
      </c>
      <c r="H57" s="58" t="s">
        <v>2056</v>
      </c>
      <c r="I57" s="164"/>
      <c r="J57" s="206"/>
      <c r="K57" s="164"/>
      <c r="L57" s="58"/>
      <c r="M57" s="188">
        <v>44.7</v>
      </c>
      <c r="N57" s="169" t="s">
        <v>11</v>
      </c>
    </row>
    <row r="58" spans="1:14" x14ac:dyDescent="0.25">
      <c r="A58" s="66" t="s">
        <v>8</v>
      </c>
      <c r="B58" s="69" t="s">
        <v>16</v>
      </c>
      <c r="C58" s="51"/>
      <c r="D58" s="65"/>
      <c r="E58" s="86"/>
      <c r="F58" s="12"/>
      <c r="G58" s="157"/>
      <c r="H58" s="12"/>
      <c r="I58" s="62"/>
      <c r="J58" s="27"/>
      <c r="K58" s="62"/>
      <c r="L58" s="12"/>
      <c r="M58" s="191"/>
      <c r="N58" s="65"/>
    </row>
    <row r="59" spans="1:14" x14ac:dyDescent="0.25">
      <c r="A59" s="63" t="s">
        <v>8</v>
      </c>
      <c r="B59" s="70" t="s">
        <v>2258</v>
      </c>
      <c r="C59" s="2">
        <v>4058075768857</v>
      </c>
      <c r="D59" s="84"/>
      <c r="E59" s="85"/>
      <c r="F59" s="16"/>
      <c r="G59" s="156" t="str">
        <f>HYPERLINK("https://ledvance.com/pt/product-datasheet/239569/206911","Ficha Técnica")</f>
        <v>Ficha Técnica</v>
      </c>
      <c r="H59" s="15">
        <v>18</v>
      </c>
      <c r="I59" s="163">
        <v>1575</v>
      </c>
      <c r="J59" s="15">
        <v>15</v>
      </c>
      <c r="K59" s="163" t="s">
        <v>17</v>
      </c>
      <c r="L59" s="15">
        <v>5</v>
      </c>
      <c r="M59" s="188">
        <v>80.900000000000006</v>
      </c>
      <c r="N59" s="169" t="s">
        <v>11</v>
      </c>
    </row>
    <row r="60" spans="1:14" x14ac:dyDescent="0.25">
      <c r="A60" s="63" t="s">
        <v>8</v>
      </c>
      <c r="B60" s="70" t="s">
        <v>2259</v>
      </c>
      <c r="C60" s="2">
        <v>4058075768871</v>
      </c>
      <c r="D60" s="84"/>
      <c r="E60" s="85"/>
      <c r="F60" s="16"/>
      <c r="G60" s="156" t="str">
        <f>HYPERLINK("https://ledvance.com/pt/product-datasheet/239569/206914","Ficha Técnica")</f>
        <v>Ficha Técnica</v>
      </c>
      <c r="H60" s="15">
        <v>18</v>
      </c>
      <c r="I60" s="163">
        <v>1650</v>
      </c>
      <c r="J60" s="15">
        <v>15</v>
      </c>
      <c r="K60" s="163" t="s">
        <v>17</v>
      </c>
      <c r="L60" s="15">
        <v>5</v>
      </c>
      <c r="M60" s="188">
        <v>80.900000000000006</v>
      </c>
      <c r="N60" s="169" t="s">
        <v>11</v>
      </c>
    </row>
    <row r="61" spans="1:14" x14ac:dyDescent="0.25">
      <c r="A61" s="63" t="s">
        <v>8</v>
      </c>
      <c r="B61" s="70" t="s">
        <v>2260</v>
      </c>
      <c r="C61" s="2">
        <v>4058075768895</v>
      </c>
      <c r="D61" s="84"/>
      <c r="E61" s="85"/>
      <c r="F61" s="16"/>
      <c r="G61" s="156" t="str">
        <f>HYPERLINK("https://ledvance.com/pt/product-datasheet/239569/206917","Ficha Técnica")</f>
        <v>Ficha Técnica</v>
      </c>
      <c r="H61" s="15">
        <v>18</v>
      </c>
      <c r="I61" s="163">
        <v>1575</v>
      </c>
      <c r="J61" s="15">
        <v>15</v>
      </c>
      <c r="K61" s="163" t="s">
        <v>17</v>
      </c>
      <c r="L61" s="15">
        <v>5</v>
      </c>
      <c r="M61" s="188">
        <v>80.900000000000006</v>
      </c>
      <c r="N61" s="169" t="s">
        <v>11</v>
      </c>
    </row>
    <row r="62" spans="1:14" x14ac:dyDescent="0.25">
      <c r="A62" s="63" t="s">
        <v>8</v>
      </c>
      <c r="B62" s="70" t="s">
        <v>2261</v>
      </c>
      <c r="C62" s="2">
        <v>4058075768918</v>
      </c>
      <c r="D62" s="84"/>
      <c r="E62" s="85"/>
      <c r="F62" s="16"/>
      <c r="G62" s="156" t="str">
        <f>HYPERLINK("https://ledvance.com/pt/product-datasheet/239569/206921","Ficha Técnica")</f>
        <v>Ficha Técnica</v>
      </c>
      <c r="H62" s="15">
        <v>18</v>
      </c>
      <c r="I62" s="163">
        <v>1650</v>
      </c>
      <c r="J62" s="15">
        <v>15</v>
      </c>
      <c r="K62" s="163" t="s">
        <v>17</v>
      </c>
      <c r="L62" s="15">
        <v>5</v>
      </c>
      <c r="M62" s="188">
        <v>80.900000000000006</v>
      </c>
      <c r="N62" s="169" t="s">
        <v>11</v>
      </c>
    </row>
    <row r="63" spans="1:14" x14ac:dyDescent="0.25">
      <c r="A63" s="63" t="s">
        <v>8</v>
      </c>
      <c r="B63" s="70" t="s">
        <v>2262</v>
      </c>
      <c r="C63" s="2">
        <v>4058075768963</v>
      </c>
      <c r="D63" s="84"/>
      <c r="E63" s="85"/>
      <c r="F63" s="16"/>
      <c r="G63" s="156" t="str">
        <f>HYPERLINK("https://ledvance.com/pt/product-datasheet/239569/206924","Ficha Técnica")</f>
        <v>Ficha Técnica</v>
      </c>
      <c r="H63" s="15">
        <v>18</v>
      </c>
      <c r="I63" s="163">
        <v>1575</v>
      </c>
      <c r="J63" s="15">
        <v>15</v>
      </c>
      <c r="K63" s="163" t="s">
        <v>17</v>
      </c>
      <c r="L63" s="15">
        <v>5</v>
      </c>
      <c r="M63" s="188">
        <v>80.900000000000006</v>
      </c>
      <c r="N63" s="169" t="s">
        <v>11</v>
      </c>
    </row>
    <row r="64" spans="1:14" x14ac:dyDescent="0.25">
      <c r="A64" s="63" t="s">
        <v>8</v>
      </c>
      <c r="B64" s="70" t="s">
        <v>2263</v>
      </c>
      <c r="C64" s="2">
        <v>4058075768987</v>
      </c>
      <c r="D64" s="84"/>
      <c r="E64" s="85"/>
      <c r="F64" s="16"/>
      <c r="G64" s="156" t="str">
        <f>HYPERLINK("https://ledvance.com/pt/product-datasheet/239569/206927","Ficha Técnica")</f>
        <v>Ficha Técnica</v>
      </c>
      <c r="H64" s="15">
        <v>18</v>
      </c>
      <c r="I64" s="163">
        <v>1650</v>
      </c>
      <c r="J64" s="15">
        <v>15</v>
      </c>
      <c r="K64" s="163" t="s">
        <v>17</v>
      </c>
      <c r="L64" s="15">
        <v>5</v>
      </c>
      <c r="M64" s="188">
        <v>80.900000000000006</v>
      </c>
      <c r="N64" s="169" t="s">
        <v>11</v>
      </c>
    </row>
    <row r="65" spans="1:14" x14ac:dyDescent="0.25">
      <c r="A65" s="63" t="s">
        <v>8</v>
      </c>
      <c r="B65" s="70" t="s">
        <v>2264</v>
      </c>
      <c r="C65" s="2">
        <v>4058075769007</v>
      </c>
      <c r="D65" s="84"/>
      <c r="E65" s="85"/>
      <c r="F65" s="16"/>
      <c r="G65" s="156" t="str">
        <f>HYPERLINK("https://ledvance.com/pt/product-datasheet/239569/206930","Ficha Técnica")</f>
        <v>Ficha Técnica</v>
      </c>
      <c r="H65" s="15">
        <v>18</v>
      </c>
      <c r="I65" s="163">
        <v>1575</v>
      </c>
      <c r="J65" s="15">
        <v>15</v>
      </c>
      <c r="K65" s="163" t="s">
        <v>17</v>
      </c>
      <c r="L65" s="15">
        <v>5</v>
      </c>
      <c r="M65" s="188">
        <v>80.900000000000006</v>
      </c>
      <c r="N65" s="169" t="s">
        <v>11</v>
      </c>
    </row>
    <row r="66" spans="1:14" x14ac:dyDescent="0.25">
      <c r="A66" s="63" t="s">
        <v>8</v>
      </c>
      <c r="B66" s="70" t="s">
        <v>2265</v>
      </c>
      <c r="C66" s="2">
        <v>4058075769021</v>
      </c>
      <c r="D66" s="84"/>
      <c r="E66" s="85"/>
      <c r="F66" s="16"/>
      <c r="G66" s="156" t="str">
        <f>HYPERLINK("https://ledvance.com/pt/product-datasheet/239569/206933","Ficha Técnica")</f>
        <v>Ficha Técnica</v>
      </c>
      <c r="H66" s="15">
        <v>18</v>
      </c>
      <c r="I66" s="163">
        <v>1650</v>
      </c>
      <c r="J66" s="15">
        <v>15</v>
      </c>
      <c r="K66" s="163" t="s">
        <v>17</v>
      </c>
      <c r="L66" s="15">
        <v>5</v>
      </c>
      <c r="M66" s="188">
        <v>80.900000000000006</v>
      </c>
      <c r="N66" s="169" t="s">
        <v>11</v>
      </c>
    </row>
    <row r="67" spans="1:14" x14ac:dyDescent="0.25">
      <c r="A67" s="63" t="s">
        <v>8</v>
      </c>
      <c r="B67" s="70" t="s">
        <v>2266</v>
      </c>
      <c r="C67" s="2">
        <v>4058075769045</v>
      </c>
      <c r="D67" s="84"/>
      <c r="E67" s="85"/>
      <c r="F67" s="16"/>
      <c r="G67" s="156" t="str">
        <f>HYPERLINK("https://ledvance.com/pt/product-datasheet/239569/206936","Ficha Técnica")</f>
        <v>Ficha Técnica</v>
      </c>
      <c r="H67" s="15">
        <v>6</v>
      </c>
      <c r="I67" s="163">
        <v>3150</v>
      </c>
      <c r="J67" s="15">
        <v>30</v>
      </c>
      <c r="K67" s="163" t="s">
        <v>17</v>
      </c>
      <c r="L67" s="15">
        <v>5</v>
      </c>
      <c r="M67" s="188">
        <v>148.30000000000001</v>
      </c>
      <c r="N67" s="169" t="s">
        <v>11</v>
      </c>
    </row>
    <row r="68" spans="1:14" x14ac:dyDescent="0.25">
      <c r="A68" s="63" t="s">
        <v>8</v>
      </c>
      <c r="B68" s="70" t="s">
        <v>2267</v>
      </c>
      <c r="C68" s="2">
        <v>4058075769076</v>
      </c>
      <c r="D68" s="84"/>
      <c r="E68" s="85"/>
      <c r="F68" s="16"/>
      <c r="G68" s="156" t="str">
        <f>HYPERLINK("https://ledvance.com/pt/product-datasheet/239569/206939","Ficha Técnica")</f>
        <v>Ficha Técnica</v>
      </c>
      <c r="H68" s="15">
        <v>6</v>
      </c>
      <c r="I68" s="163">
        <v>3300</v>
      </c>
      <c r="J68" s="15">
        <v>30</v>
      </c>
      <c r="K68" s="163" t="s">
        <v>17</v>
      </c>
      <c r="L68" s="15">
        <v>5</v>
      </c>
      <c r="M68" s="188">
        <v>148.30000000000001</v>
      </c>
      <c r="N68" s="169" t="s">
        <v>11</v>
      </c>
    </row>
    <row r="69" spans="1:14" x14ac:dyDescent="0.25">
      <c r="A69" s="63" t="s">
        <v>8</v>
      </c>
      <c r="B69" s="70" t="s">
        <v>2268</v>
      </c>
      <c r="C69" s="2">
        <v>4058075769090</v>
      </c>
      <c r="D69" s="84"/>
      <c r="E69" s="85"/>
      <c r="F69" s="16"/>
      <c r="G69" s="156" t="str">
        <f>HYPERLINK("https://ledvance.com/pt/product-datasheet/239569/206943","Ficha Técnica")</f>
        <v>Ficha Técnica</v>
      </c>
      <c r="H69" s="15">
        <v>6</v>
      </c>
      <c r="I69" s="163">
        <v>3150</v>
      </c>
      <c r="J69" s="15">
        <v>30</v>
      </c>
      <c r="K69" s="163" t="s">
        <v>17</v>
      </c>
      <c r="L69" s="15">
        <v>5</v>
      </c>
      <c r="M69" s="188">
        <v>148.30000000000001</v>
      </c>
      <c r="N69" s="169" t="s">
        <v>11</v>
      </c>
    </row>
    <row r="70" spans="1:14" x14ac:dyDescent="0.25">
      <c r="A70" s="63" t="s">
        <v>8</v>
      </c>
      <c r="B70" s="70" t="s">
        <v>2269</v>
      </c>
      <c r="C70" s="2">
        <v>4058075769113</v>
      </c>
      <c r="D70" s="84"/>
      <c r="E70" s="85"/>
      <c r="F70" s="16"/>
      <c r="G70" s="156" t="str">
        <f>HYPERLINK("https://ledvance.com/pt/product-datasheet/239569/206946","Ficha Técnica")</f>
        <v>Ficha Técnica</v>
      </c>
      <c r="H70" s="15">
        <v>6</v>
      </c>
      <c r="I70" s="163">
        <v>3300</v>
      </c>
      <c r="J70" s="15">
        <v>30</v>
      </c>
      <c r="K70" s="163" t="s">
        <v>17</v>
      </c>
      <c r="L70" s="15">
        <v>5</v>
      </c>
      <c r="M70" s="188">
        <v>148.30000000000001</v>
      </c>
      <c r="N70" s="169" t="s">
        <v>11</v>
      </c>
    </row>
    <row r="71" spans="1:14" x14ac:dyDescent="0.25">
      <c r="A71" s="63" t="s">
        <v>8</v>
      </c>
      <c r="B71" s="70" t="s">
        <v>2270</v>
      </c>
      <c r="C71" s="2">
        <v>4058075769137</v>
      </c>
      <c r="D71" s="84"/>
      <c r="E71" s="85"/>
      <c r="F71" s="16"/>
      <c r="G71" s="156" t="str">
        <f>HYPERLINK("https://ledvance.com/pt/product-datasheet/239569/206949","Ficha Técnica")</f>
        <v>Ficha Técnica</v>
      </c>
      <c r="H71" s="15">
        <v>6</v>
      </c>
      <c r="I71" s="163">
        <v>3150</v>
      </c>
      <c r="J71" s="15">
        <v>30</v>
      </c>
      <c r="K71" s="163" t="s">
        <v>17</v>
      </c>
      <c r="L71" s="15">
        <v>5</v>
      </c>
      <c r="M71" s="188">
        <v>148.30000000000001</v>
      </c>
      <c r="N71" s="169" t="s">
        <v>11</v>
      </c>
    </row>
    <row r="72" spans="1:14" x14ac:dyDescent="0.25">
      <c r="A72" s="63" t="s">
        <v>8</v>
      </c>
      <c r="B72" s="70" t="s">
        <v>2271</v>
      </c>
      <c r="C72" s="2">
        <v>4058075769151</v>
      </c>
      <c r="D72" s="84"/>
      <c r="E72" s="85"/>
      <c r="F72" s="16"/>
      <c r="G72" s="156" t="str">
        <f>HYPERLINK("https://ledvance.com/pt/product-datasheet/239569/206952","Ficha Técnica")</f>
        <v>Ficha Técnica</v>
      </c>
      <c r="H72" s="15">
        <v>6</v>
      </c>
      <c r="I72" s="163">
        <v>3300</v>
      </c>
      <c r="J72" s="15">
        <v>30</v>
      </c>
      <c r="K72" s="163" t="s">
        <v>17</v>
      </c>
      <c r="L72" s="15">
        <v>5</v>
      </c>
      <c r="M72" s="188">
        <v>148.30000000000001</v>
      </c>
      <c r="N72" s="169" t="s">
        <v>11</v>
      </c>
    </row>
    <row r="73" spans="1:14" x14ac:dyDescent="0.25">
      <c r="A73" s="63" t="s">
        <v>8</v>
      </c>
      <c r="B73" s="70" t="s">
        <v>2272</v>
      </c>
      <c r="C73" s="2">
        <v>4058075769175</v>
      </c>
      <c r="D73" s="84"/>
      <c r="E73" s="85"/>
      <c r="F73" s="16"/>
      <c r="G73" s="156" t="str">
        <f>HYPERLINK("https://ledvance.com/pt/product-datasheet/239569/206955","Ficha Técnica")</f>
        <v>Ficha Técnica</v>
      </c>
      <c r="H73" s="15">
        <v>6</v>
      </c>
      <c r="I73" s="163">
        <v>3150</v>
      </c>
      <c r="J73" s="15">
        <v>30</v>
      </c>
      <c r="K73" s="163" t="s">
        <v>17</v>
      </c>
      <c r="L73" s="15">
        <v>5</v>
      </c>
      <c r="M73" s="188">
        <v>148.30000000000001</v>
      </c>
      <c r="N73" s="169" t="s">
        <v>11</v>
      </c>
    </row>
    <row r="74" spans="1:14" x14ac:dyDescent="0.25">
      <c r="A74" s="63" t="s">
        <v>8</v>
      </c>
      <c r="B74" s="70" t="s">
        <v>2273</v>
      </c>
      <c r="C74" s="2">
        <v>4058075769199</v>
      </c>
      <c r="D74" s="84"/>
      <c r="E74" s="85"/>
      <c r="F74" s="16"/>
      <c r="G74" s="156" t="str">
        <f>HYPERLINK("https://ledvance.com/pt/product-datasheet/239569/206958","Ficha Técnica")</f>
        <v>Ficha Técnica</v>
      </c>
      <c r="H74" s="15">
        <v>6</v>
      </c>
      <c r="I74" s="163">
        <v>3300</v>
      </c>
      <c r="J74" s="15">
        <v>30</v>
      </c>
      <c r="K74" s="163" t="s">
        <v>17</v>
      </c>
      <c r="L74" s="15">
        <v>5</v>
      </c>
      <c r="M74" s="188">
        <v>148.30000000000001</v>
      </c>
      <c r="N74" s="169" t="s">
        <v>11</v>
      </c>
    </row>
    <row r="75" spans="1:14" x14ac:dyDescent="0.25">
      <c r="A75" s="63" t="s">
        <v>8</v>
      </c>
      <c r="B75" s="70" t="s">
        <v>2274</v>
      </c>
      <c r="C75" s="2">
        <v>4058075769212</v>
      </c>
      <c r="D75" s="84"/>
      <c r="E75" s="85"/>
      <c r="F75" s="16"/>
      <c r="G75" s="156" t="str">
        <f>HYPERLINK("https://ledvance.com/pt/product-datasheet/239569/206961","Ficha Técnica")</f>
        <v>Ficha Técnica</v>
      </c>
      <c r="H75" s="15">
        <v>4</v>
      </c>
      <c r="I75" s="163">
        <v>4725</v>
      </c>
      <c r="J75" s="15">
        <v>45</v>
      </c>
      <c r="K75" s="163" t="s">
        <v>17</v>
      </c>
      <c r="L75" s="15">
        <v>5</v>
      </c>
      <c r="M75" s="188">
        <v>252.7</v>
      </c>
      <c r="N75" s="169" t="s">
        <v>11</v>
      </c>
    </row>
    <row r="76" spans="1:14" x14ac:dyDescent="0.25">
      <c r="A76" s="63" t="s">
        <v>8</v>
      </c>
      <c r="B76" s="70" t="s">
        <v>2275</v>
      </c>
      <c r="C76" s="2">
        <v>4058075769236</v>
      </c>
      <c r="D76" s="84"/>
      <c r="E76" s="85"/>
      <c r="F76" s="16"/>
      <c r="G76" s="156" t="str">
        <f>HYPERLINK("https://ledvance.com/pt/product-datasheet/239569/206964","Ficha Técnica")</f>
        <v>Ficha Técnica</v>
      </c>
      <c r="H76" s="15">
        <v>4</v>
      </c>
      <c r="I76" s="163">
        <v>4950</v>
      </c>
      <c r="J76" s="15">
        <v>45</v>
      </c>
      <c r="K76" s="163" t="s">
        <v>17</v>
      </c>
      <c r="L76" s="15">
        <v>5</v>
      </c>
      <c r="M76" s="188">
        <v>252.7</v>
      </c>
      <c r="N76" s="169" t="s">
        <v>11</v>
      </c>
    </row>
    <row r="77" spans="1:14" x14ac:dyDescent="0.25">
      <c r="A77" s="63" t="s">
        <v>8</v>
      </c>
      <c r="B77" s="70" t="s">
        <v>2276</v>
      </c>
      <c r="C77" s="2">
        <v>4058075769250</v>
      </c>
      <c r="D77" s="84"/>
      <c r="E77" s="85"/>
      <c r="F77" s="16"/>
      <c r="G77" s="156" t="str">
        <f>HYPERLINK("https://ledvance.com/pt/product-datasheet/239569/206967","Ficha Técnica")</f>
        <v>Ficha Técnica</v>
      </c>
      <c r="H77" s="15">
        <v>4</v>
      </c>
      <c r="I77" s="163">
        <v>4725</v>
      </c>
      <c r="J77" s="15">
        <v>45</v>
      </c>
      <c r="K77" s="163" t="s">
        <v>17</v>
      </c>
      <c r="L77" s="15">
        <v>5</v>
      </c>
      <c r="M77" s="188">
        <v>252.7</v>
      </c>
      <c r="N77" s="169" t="s">
        <v>11</v>
      </c>
    </row>
    <row r="78" spans="1:14" x14ac:dyDescent="0.25">
      <c r="A78" s="63" t="s">
        <v>8</v>
      </c>
      <c r="B78" s="70" t="s">
        <v>2277</v>
      </c>
      <c r="C78" s="2">
        <v>4058075769274</v>
      </c>
      <c r="D78" s="84"/>
      <c r="E78" s="85"/>
      <c r="F78" s="16"/>
      <c r="G78" s="156" t="str">
        <f>HYPERLINK("https://ledvance.com/pt/product-datasheet/239569/206970","Ficha Técnica")</f>
        <v>Ficha Técnica</v>
      </c>
      <c r="H78" s="15">
        <v>4</v>
      </c>
      <c r="I78" s="163">
        <v>4950</v>
      </c>
      <c r="J78" s="15">
        <v>45</v>
      </c>
      <c r="K78" s="163" t="s">
        <v>17</v>
      </c>
      <c r="L78" s="15">
        <v>5</v>
      </c>
      <c r="M78" s="188">
        <v>252.7</v>
      </c>
      <c r="N78" s="169" t="s">
        <v>11</v>
      </c>
    </row>
    <row r="79" spans="1:14" x14ac:dyDescent="0.25">
      <c r="A79" s="63" t="s">
        <v>8</v>
      </c>
      <c r="B79" s="70" t="s">
        <v>2278</v>
      </c>
      <c r="C79" s="2">
        <v>4058075769298</v>
      </c>
      <c r="D79" s="84"/>
      <c r="E79" s="85"/>
      <c r="F79" s="16"/>
      <c r="G79" s="156" t="str">
        <f>HYPERLINK("https://ledvance.com/pt/product-datasheet/239569/206973","Ficha Técnica")</f>
        <v>Ficha Técnica</v>
      </c>
      <c r="H79" s="15">
        <v>4</v>
      </c>
      <c r="I79" s="163">
        <v>4725</v>
      </c>
      <c r="J79" s="15">
        <v>45</v>
      </c>
      <c r="K79" s="163" t="s">
        <v>17</v>
      </c>
      <c r="L79" s="15">
        <v>5</v>
      </c>
      <c r="M79" s="188">
        <v>252.7</v>
      </c>
      <c r="N79" s="169" t="s">
        <v>11</v>
      </c>
    </row>
    <row r="80" spans="1:14" x14ac:dyDescent="0.25">
      <c r="A80" s="63" t="s">
        <v>8</v>
      </c>
      <c r="B80" s="70" t="s">
        <v>2279</v>
      </c>
      <c r="C80" s="2">
        <v>4058075769335</v>
      </c>
      <c r="D80" s="84"/>
      <c r="E80" s="85"/>
      <c r="F80" s="16"/>
      <c r="G80" s="156" t="str">
        <f>HYPERLINK("https://ledvance.com/pt/product-datasheet/239569/206977","Ficha Técnica")</f>
        <v>Ficha Técnica</v>
      </c>
      <c r="H80" s="15">
        <v>4</v>
      </c>
      <c r="I80" s="163">
        <v>4950</v>
      </c>
      <c r="J80" s="15">
        <v>45</v>
      </c>
      <c r="K80" s="163" t="s">
        <v>17</v>
      </c>
      <c r="L80" s="15">
        <v>5</v>
      </c>
      <c r="M80" s="188">
        <v>252.7</v>
      </c>
      <c r="N80" s="169" t="s">
        <v>11</v>
      </c>
    </row>
    <row r="81" spans="1:14" x14ac:dyDescent="0.25">
      <c r="A81" s="63" t="s">
        <v>8</v>
      </c>
      <c r="B81" s="70" t="s">
        <v>2280</v>
      </c>
      <c r="C81" s="2">
        <v>4058075769359</v>
      </c>
      <c r="D81" s="84"/>
      <c r="E81" s="85"/>
      <c r="F81" s="16"/>
      <c r="G81" s="156" t="str">
        <f>HYPERLINK("https://ledvance.com/pt/product-datasheet/239569/206980","Ficha Técnica")</f>
        <v>Ficha Técnica</v>
      </c>
      <c r="H81" s="15">
        <v>4</v>
      </c>
      <c r="I81" s="163">
        <v>4725</v>
      </c>
      <c r="J81" s="15">
        <v>45</v>
      </c>
      <c r="K81" s="163" t="s">
        <v>17</v>
      </c>
      <c r="L81" s="15">
        <v>5</v>
      </c>
      <c r="M81" s="188">
        <v>252.7</v>
      </c>
      <c r="N81" s="169" t="s">
        <v>11</v>
      </c>
    </row>
    <row r="82" spans="1:14" x14ac:dyDescent="0.25">
      <c r="A82" s="63" t="s">
        <v>8</v>
      </c>
      <c r="B82" s="70" t="s">
        <v>2281</v>
      </c>
      <c r="C82" s="2">
        <v>4058075769397</v>
      </c>
      <c r="D82" s="84"/>
      <c r="E82" s="85"/>
      <c r="F82" s="16"/>
      <c r="G82" s="156" t="str">
        <f>HYPERLINK("https://ledvance.com/pt/product-datasheet/239569/206983","Ficha Técnica")</f>
        <v>Ficha Técnica</v>
      </c>
      <c r="H82" s="15">
        <v>4</v>
      </c>
      <c r="I82" s="163">
        <v>4950</v>
      </c>
      <c r="J82" s="15">
        <v>45</v>
      </c>
      <c r="K82" s="163" t="s">
        <v>17</v>
      </c>
      <c r="L82" s="15">
        <v>5</v>
      </c>
      <c r="M82" s="188">
        <v>252.7</v>
      </c>
      <c r="N82" s="169" t="s">
        <v>11</v>
      </c>
    </row>
    <row r="83" spans="1:14" x14ac:dyDescent="0.25">
      <c r="A83" s="66" t="s">
        <v>8</v>
      </c>
      <c r="B83" s="69" t="s">
        <v>18</v>
      </c>
      <c r="C83" s="51"/>
      <c r="D83" s="65"/>
      <c r="E83" s="86"/>
      <c r="F83" s="12"/>
      <c r="G83" s="157"/>
      <c r="H83" s="12"/>
      <c r="I83" s="62"/>
      <c r="J83" s="27"/>
      <c r="K83" s="62"/>
      <c r="L83" s="12"/>
      <c r="M83" s="191"/>
      <c r="N83" s="65"/>
    </row>
    <row r="84" spans="1:14" x14ac:dyDescent="0.25">
      <c r="A84" s="63" t="s">
        <v>8</v>
      </c>
      <c r="B84" s="70" t="s">
        <v>19</v>
      </c>
      <c r="C84" s="2">
        <v>4058075091436</v>
      </c>
      <c r="D84" s="84"/>
      <c r="E84" s="85"/>
      <c r="F84" s="16"/>
      <c r="G84" s="156" t="str">
        <f>HYPERLINK("https://ledvance.com/pt/product-datasheet/8461/123628","Ficha Técnica")</f>
        <v>Ficha Técnica</v>
      </c>
      <c r="H84" s="15">
        <v>8</v>
      </c>
      <c r="I84" s="163">
        <v>1190</v>
      </c>
      <c r="J84" s="15">
        <v>14</v>
      </c>
      <c r="K84" s="163" t="s">
        <v>20</v>
      </c>
      <c r="L84" s="15">
        <v>5</v>
      </c>
      <c r="M84" s="188">
        <v>29.6</v>
      </c>
      <c r="N84" s="169" t="s">
        <v>11</v>
      </c>
    </row>
    <row r="85" spans="1:14" x14ac:dyDescent="0.25">
      <c r="A85" s="63" t="s">
        <v>8</v>
      </c>
      <c r="B85" s="70" t="s">
        <v>21</v>
      </c>
      <c r="C85" s="2">
        <v>4058075091450</v>
      </c>
      <c r="D85" s="84"/>
      <c r="E85" s="85"/>
      <c r="F85" s="16"/>
      <c r="G85" s="156" t="str">
        <f>HYPERLINK("https://ledvance.com/pt/product-datasheet/8461/123635","Ficha Técnica")</f>
        <v>Ficha Técnica</v>
      </c>
      <c r="H85" s="15">
        <v>8</v>
      </c>
      <c r="I85" s="163">
        <v>1260</v>
      </c>
      <c r="J85" s="15">
        <v>14</v>
      </c>
      <c r="K85" s="163" t="s">
        <v>20</v>
      </c>
      <c r="L85" s="15">
        <v>5</v>
      </c>
      <c r="M85" s="188">
        <v>29.6</v>
      </c>
      <c r="N85" s="169" t="s">
        <v>11</v>
      </c>
    </row>
    <row r="86" spans="1:14" x14ac:dyDescent="0.25">
      <c r="A86" s="63" t="s">
        <v>8</v>
      </c>
      <c r="B86" s="70" t="s">
        <v>22</v>
      </c>
      <c r="C86" s="2">
        <v>4058075091474</v>
      </c>
      <c r="D86" s="84"/>
      <c r="E86" s="85"/>
      <c r="F86" s="16"/>
      <c r="G86" s="156" t="str">
        <f>HYPERLINK("https://ledvance.com/pt/product-datasheet/8461/123642","Ficha Técnica")</f>
        <v>Ficha Técnica</v>
      </c>
      <c r="H86" s="15">
        <v>8</v>
      </c>
      <c r="I86" s="163">
        <v>1330</v>
      </c>
      <c r="J86" s="15">
        <v>14</v>
      </c>
      <c r="K86" s="163" t="s">
        <v>20</v>
      </c>
      <c r="L86" s="15">
        <v>5</v>
      </c>
      <c r="M86" s="188">
        <v>29.6</v>
      </c>
      <c r="N86" s="169" t="s">
        <v>11</v>
      </c>
    </row>
    <row r="87" spans="1:14" x14ac:dyDescent="0.25">
      <c r="A87" s="63" t="s">
        <v>8</v>
      </c>
      <c r="B87" s="70" t="s">
        <v>23</v>
      </c>
      <c r="C87" s="2">
        <v>4058075091498</v>
      </c>
      <c r="D87" s="84"/>
      <c r="E87" s="85"/>
      <c r="F87" s="16"/>
      <c r="G87" s="156" t="str">
        <f>HYPERLINK("https://ledvance.com/pt/product-datasheet/8461/123702","Ficha Técnica")</f>
        <v>Ficha Técnica</v>
      </c>
      <c r="H87" s="15">
        <v>8</v>
      </c>
      <c r="I87" s="163">
        <v>2250</v>
      </c>
      <c r="J87" s="15">
        <v>25</v>
      </c>
      <c r="K87" s="163" t="s">
        <v>20</v>
      </c>
      <c r="L87" s="15">
        <v>5</v>
      </c>
      <c r="M87" s="188">
        <v>50.2</v>
      </c>
      <c r="N87" s="169" t="s">
        <v>11</v>
      </c>
    </row>
    <row r="88" spans="1:14" x14ac:dyDescent="0.25">
      <c r="A88" s="63" t="s">
        <v>8</v>
      </c>
      <c r="B88" s="70" t="s">
        <v>24</v>
      </c>
      <c r="C88" s="2">
        <v>4058075091511</v>
      </c>
      <c r="D88" s="84"/>
      <c r="E88" s="85"/>
      <c r="F88" s="16"/>
      <c r="G88" s="156" t="str">
        <f>HYPERLINK("https://ledvance.com/pt/product-datasheet/8461/123649","Ficha Técnica")</f>
        <v>Ficha Técnica</v>
      </c>
      <c r="H88" s="15">
        <v>8</v>
      </c>
      <c r="I88" s="163">
        <v>2370</v>
      </c>
      <c r="J88" s="15">
        <v>25</v>
      </c>
      <c r="K88" s="163" t="s">
        <v>20</v>
      </c>
      <c r="L88" s="15">
        <v>5</v>
      </c>
      <c r="M88" s="188">
        <v>50.2</v>
      </c>
      <c r="N88" s="169" t="s">
        <v>11</v>
      </c>
    </row>
    <row r="89" spans="1:14" x14ac:dyDescent="0.25">
      <c r="A89" s="63" t="s">
        <v>8</v>
      </c>
      <c r="B89" s="70" t="s">
        <v>25</v>
      </c>
      <c r="C89" s="2">
        <v>4058075091535</v>
      </c>
      <c r="D89" s="84"/>
      <c r="E89" s="85"/>
      <c r="F89" s="16"/>
      <c r="G89" s="156" t="str">
        <f>HYPERLINK("https://ledvance.com/pt/product-datasheet/8461/123656","Ficha Técnica")</f>
        <v>Ficha Técnica</v>
      </c>
      <c r="H89" s="15">
        <v>8</v>
      </c>
      <c r="I89" s="163">
        <v>2370</v>
      </c>
      <c r="J89" s="15">
        <v>25</v>
      </c>
      <c r="K89" s="163" t="s">
        <v>20</v>
      </c>
      <c r="L89" s="15">
        <v>5</v>
      </c>
      <c r="M89" s="188">
        <v>50.2</v>
      </c>
      <c r="N89" s="169" t="s">
        <v>11</v>
      </c>
    </row>
    <row r="90" spans="1:14" x14ac:dyDescent="0.25">
      <c r="A90" s="63" t="s">
        <v>8</v>
      </c>
      <c r="B90" s="70" t="s">
        <v>26</v>
      </c>
      <c r="C90" s="2">
        <v>4058075091559</v>
      </c>
      <c r="D90" s="84"/>
      <c r="E90" s="85"/>
      <c r="F90" s="16"/>
      <c r="G90" s="156" t="str">
        <f>HYPERLINK("https://ledvance.com/pt/product-datasheet/8461/123663","Ficha Técnica")</f>
        <v>Ficha Técnica</v>
      </c>
      <c r="H90" s="15">
        <v>8</v>
      </c>
      <c r="I90" s="163">
        <v>2975</v>
      </c>
      <c r="J90" s="15">
        <v>35</v>
      </c>
      <c r="K90" s="163" t="s">
        <v>20</v>
      </c>
      <c r="L90" s="15">
        <v>5</v>
      </c>
      <c r="M90" s="188">
        <v>56</v>
      </c>
      <c r="N90" s="169" t="s">
        <v>11</v>
      </c>
    </row>
    <row r="91" spans="1:14" x14ac:dyDescent="0.25">
      <c r="A91" s="63" t="s">
        <v>8</v>
      </c>
      <c r="B91" s="70" t="s">
        <v>27</v>
      </c>
      <c r="C91" s="2">
        <v>4058075091573</v>
      </c>
      <c r="D91" s="84"/>
      <c r="E91" s="85"/>
      <c r="F91" s="16"/>
      <c r="G91" s="156" t="str">
        <f>HYPERLINK("https://ledvance.com/pt/product-datasheet/8461/123670","Ficha Técnica")</f>
        <v>Ficha Técnica</v>
      </c>
      <c r="H91" s="15">
        <v>8</v>
      </c>
      <c r="I91" s="163">
        <v>3150</v>
      </c>
      <c r="J91" s="15">
        <v>35</v>
      </c>
      <c r="K91" s="163" t="s">
        <v>20</v>
      </c>
      <c r="L91" s="15">
        <v>5</v>
      </c>
      <c r="M91" s="188">
        <v>56</v>
      </c>
      <c r="N91" s="169" t="s">
        <v>11</v>
      </c>
    </row>
    <row r="92" spans="1:14" x14ac:dyDescent="0.25">
      <c r="A92" s="63" t="s">
        <v>8</v>
      </c>
      <c r="B92" s="70" t="s">
        <v>28</v>
      </c>
      <c r="C92" s="2">
        <v>4058075091597</v>
      </c>
      <c r="D92" s="84"/>
      <c r="E92" s="85"/>
      <c r="F92" s="16"/>
      <c r="G92" s="156" t="str">
        <f>HYPERLINK("https://ledvance.com/pt/product-datasheet/8461/123677","Ficha Técnica")</f>
        <v>Ficha Técnica</v>
      </c>
      <c r="H92" s="15">
        <v>8</v>
      </c>
      <c r="I92" s="163">
        <v>3150</v>
      </c>
      <c r="J92" s="15">
        <v>35</v>
      </c>
      <c r="K92" s="163" t="s">
        <v>20</v>
      </c>
      <c r="L92" s="15">
        <v>5</v>
      </c>
      <c r="M92" s="188">
        <v>56</v>
      </c>
      <c r="N92" s="169" t="s">
        <v>11</v>
      </c>
    </row>
    <row r="93" spans="1:14" x14ac:dyDescent="0.25">
      <c r="A93" s="63" t="s">
        <v>8</v>
      </c>
      <c r="B93" s="70" t="s">
        <v>29</v>
      </c>
      <c r="C93" s="2">
        <v>4058075202610</v>
      </c>
      <c r="D93" s="84"/>
      <c r="E93" s="85"/>
      <c r="F93" s="16"/>
      <c r="G93" s="156" t="str">
        <f>HYPERLINK("https://ledvance.com/pt/product-datasheet/8462/111865","Ficha Técnica")</f>
        <v>Ficha Técnica</v>
      </c>
      <c r="H93" s="15">
        <v>8</v>
      </c>
      <c r="I93" s="163">
        <v>1190</v>
      </c>
      <c r="J93" s="15">
        <v>14</v>
      </c>
      <c r="K93" s="163" t="s">
        <v>20</v>
      </c>
      <c r="L93" s="15">
        <v>5</v>
      </c>
      <c r="M93" s="188">
        <v>105.2</v>
      </c>
      <c r="N93" s="169" t="s">
        <v>11</v>
      </c>
    </row>
    <row r="94" spans="1:14" x14ac:dyDescent="0.25">
      <c r="A94" s="63" t="s">
        <v>8</v>
      </c>
      <c r="B94" s="70" t="s">
        <v>30</v>
      </c>
      <c r="C94" s="2">
        <v>4058075202634</v>
      </c>
      <c r="D94" s="84"/>
      <c r="E94" s="85"/>
      <c r="F94" s="16"/>
      <c r="G94" s="156" t="str">
        <f>HYPERLINK("https://ledvance.com/pt/product-datasheet/8462/111868","Ficha Técnica")</f>
        <v>Ficha Técnica</v>
      </c>
      <c r="H94" s="15">
        <v>8</v>
      </c>
      <c r="I94" s="163">
        <v>1260</v>
      </c>
      <c r="J94" s="15">
        <v>14</v>
      </c>
      <c r="K94" s="163" t="s">
        <v>20</v>
      </c>
      <c r="L94" s="15">
        <v>5</v>
      </c>
      <c r="M94" s="188">
        <v>105.2</v>
      </c>
      <c r="N94" s="169" t="s">
        <v>11</v>
      </c>
    </row>
    <row r="95" spans="1:14" x14ac:dyDescent="0.25">
      <c r="A95" s="63" t="s">
        <v>8</v>
      </c>
      <c r="B95" s="70" t="s">
        <v>31</v>
      </c>
      <c r="C95" s="2">
        <v>4058075202658</v>
      </c>
      <c r="D95" s="84"/>
      <c r="E95" s="85"/>
      <c r="F95" s="16"/>
      <c r="G95" s="156" t="str">
        <f>HYPERLINK("https://ledvance.com/pt/product-datasheet/8462/111871","Ficha Técnica")</f>
        <v>Ficha Técnica</v>
      </c>
      <c r="H95" s="15">
        <v>8</v>
      </c>
      <c r="I95" s="163">
        <v>1330</v>
      </c>
      <c r="J95" s="15">
        <v>14</v>
      </c>
      <c r="K95" s="163" t="s">
        <v>20</v>
      </c>
      <c r="L95" s="15">
        <v>5</v>
      </c>
      <c r="M95" s="188">
        <v>105.2</v>
      </c>
      <c r="N95" s="169" t="s">
        <v>11</v>
      </c>
    </row>
    <row r="96" spans="1:14" x14ac:dyDescent="0.25">
      <c r="A96" s="63" t="s">
        <v>8</v>
      </c>
      <c r="B96" s="70" t="s">
        <v>32</v>
      </c>
      <c r="C96" s="2">
        <v>4058075091610</v>
      </c>
      <c r="D96" s="84"/>
      <c r="E96" s="85"/>
      <c r="F96" s="16"/>
      <c r="G96" s="156" t="str">
        <f>HYPERLINK("https://ledvance.com/pt/product-datasheet/8462/123684","Ficha Técnica")</f>
        <v>Ficha Técnica</v>
      </c>
      <c r="H96" s="15">
        <v>8</v>
      </c>
      <c r="I96" s="163">
        <v>2250</v>
      </c>
      <c r="J96" s="15">
        <v>25</v>
      </c>
      <c r="K96" s="163" t="s">
        <v>20</v>
      </c>
      <c r="L96" s="15">
        <v>5</v>
      </c>
      <c r="M96" s="188">
        <v>121.3</v>
      </c>
      <c r="N96" s="169" t="s">
        <v>11</v>
      </c>
    </row>
    <row r="97" spans="1:14" x14ac:dyDescent="0.25">
      <c r="A97" s="63" t="s">
        <v>8</v>
      </c>
      <c r="B97" s="70" t="s">
        <v>33</v>
      </c>
      <c r="C97" s="2">
        <v>4058075091634</v>
      </c>
      <c r="D97" s="84"/>
      <c r="E97" s="85"/>
      <c r="F97" s="16"/>
      <c r="G97" s="156" t="str">
        <f>HYPERLINK("https://ledvance.com/pt/product-datasheet/8462/123687","Ficha Técnica")</f>
        <v>Ficha Técnica</v>
      </c>
      <c r="H97" s="15">
        <v>8</v>
      </c>
      <c r="I97" s="163">
        <v>2370</v>
      </c>
      <c r="J97" s="15">
        <v>25</v>
      </c>
      <c r="K97" s="163" t="s">
        <v>20</v>
      </c>
      <c r="L97" s="15">
        <v>5</v>
      </c>
      <c r="M97" s="188">
        <v>121.3</v>
      </c>
      <c r="N97" s="169" t="s">
        <v>11</v>
      </c>
    </row>
    <row r="98" spans="1:14" x14ac:dyDescent="0.25">
      <c r="A98" s="63" t="s">
        <v>8</v>
      </c>
      <c r="B98" s="70" t="s">
        <v>34</v>
      </c>
      <c r="C98" s="2">
        <v>4058075091658</v>
      </c>
      <c r="D98" s="84"/>
      <c r="E98" s="85"/>
      <c r="F98" s="16"/>
      <c r="G98" s="156" t="str">
        <f>HYPERLINK("https://ledvance.com/pt/product-datasheet/8462/123690","Ficha Técnica")</f>
        <v>Ficha Técnica</v>
      </c>
      <c r="H98" s="15">
        <v>8</v>
      </c>
      <c r="I98" s="163">
        <v>2370</v>
      </c>
      <c r="J98" s="15">
        <v>25</v>
      </c>
      <c r="K98" s="163" t="s">
        <v>20</v>
      </c>
      <c r="L98" s="15">
        <v>5</v>
      </c>
      <c r="M98" s="188">
        <v>121.3</v>
      </c>
      <c r="N98" s="169" t="s">
        <v>11</v>
      </c>
    </row>
    <row r="99" spans="1:14" x14ac:dyDescent="0.25">
      <c r="A99" s="63" t="s">
        <v>8</v>
      </c>
      <c r="B99" s="70" t="s">
        <v>35</v>
      </c>
      <c r="C99" s="2">
        <v>4058075091672</v>
      </c>
      <c r="D99" s="84"/>
      <c r="E99" s="85"/>
      <c r="F99" s="16"/>
      <c r="G99" s="156" t="str">
        <f>HYPERLINK("https://ledvance.com/pt/product-datasheet/8462/123693","Ficha Técnica")</f>
        <v>Ficha Técnica</v>
      </c>
      <c r="H99" s="15">
        <v>8</v>
      </c>
      <c r="I99" s="163">
        <v>2975</v>
      </c>
      <c r="J99" s="15">
        <v>35</v>
      </c>
      <c r="K99" s="163" t="s">
        <v>20</v>
      </c>
      <c r="L99" s="15">
        <v>5</v>
      </c>
      <c r="M99" s="188">
        <v>132</v>
      </c>
      <c r="N99" s="169" t="s">
        <v>11</v>
      </c>
    </row>
    <row r="100" spans="1:14" x14ac:dyDescent="0.25">
      <c r="A100" s="63" t="s">
        <v>8</v>
      </c>
      <c r="B100" s="70" t="s">
        <v>36</v>
      </c>
      <c r="C100" s="2">
        <v>4058075091696</v>
      </c>
      <c r="D100" s="84"/>
      <c r="E100" s="85"/>
      <c r="F100" s="16"/>
      <c r="G100" s="156" t="str">
        <f>HYPERLINK("https://ledvance.com/pt/product-datasheet/8462/123696","Ficha Técnica")</f>
        <v>Ficha Técnica</v>
      </c>
      <c r="H100" s="15">
        <v>8</v>
      </c>
      <c r="I100" s="163">
        <v>3150</v>
      </c>
      <c r="J100" s="15">
        <v>35</v>
      </c>
      <c r="K100" s="163" t="s">
        <v>20</v>
      </c>
      <c r="L100" s="15">
        <v>5</v>
      </c>
      <c r="M100" s="188">
        <v>132</v>
      </c>
      <c r="N100" s="169" t="s">
        <v>11</v>
      </c>
    </row>
    <row r="101" spans="1:14" x14ac:dyDescent="0.25">
      <c r="A101" s="63" t="s">
        <v>8</v>
      </c>
      <c r="B101" s="70" t="s">
        <v>37</v>
      </c>
      <c r="C101" s="2">
        <v>4058075091719</v>
      </c>
      <c r="D101" s="84"/>
      <c r="E101" s="85"/>
      <c r="F101" s="16"/>
      <c r="G101" s="156" t="str">
        <f>HYPERLINK("https://ledvance.com/pt/product-datasheet/8462/123699","Ficha Técnica")</f>
        <v>Ficha Técnica</v>
      </c>
      <c r="H101" s="15">
        <v>8</v>
      </c>
      <c r="I101" s="163">
        <v>3150</v>
      </c>
      <c r="J101" s="15">
        <v>35</v>
      </c>
      <c r="K101" s="163" t="s">
        <v>20</v>
      </c>
      <c r="L101" s="15">
        <v>5</v>
      </c>
      <c r="M101" s="188">
        <v>132</v>
      </c>
      <c r="N101" s="169" t="s">
        <v>11</v>
      </c>
    </row>
    <row r="102" spans="1:14" x14ac:dyDescent="0.25">
      <c r="A102" s="66" t="s">
        <v>8</v>
      </c>
      <c r="B102" s="69" t="s">
        <v>2121</v>
      </c>
      <c r="C102" s="51"/>
      <c r="D102" s="65"/>
      <c r="E102" s="86"/>
      <c r="F102" s="12"/>
      <c r="G102" s="157"/>
      <c r="H102" s="12"/>
      <c r="I102" s="62"/>
      <c r="J102" s="27"/>
      <c r="K102" s="62"/>
      <c r="L102" s="12"/>
      <c r="M102" s="191"/>
      <c r="N102" s="65"/>
    </row>
    <row r="103" spans="1:14" x14ac:dyDescent="0.25">
      <c r="A103" s="63" t="s">
        <v>8</v>
      </c>
      <c r="B103" s="70" t="s">
        <v>2282</v>
      </c>
      <c r="C103" s="2">
        <v>4058075702868</v>
      </c>
      <c r="D103" s="84"/>
      <c r="E103" s="85"/>
      <c r="F103" s="16"/>
      <c r="G103" s="156" t="str">
        <f>HYPERLINK("https://ledvance.com/pt/product-datasheet/207596/181610","Ficha Técnica")</f>
        <v>Ficha Técnica</v>
      </c>
      <c r="H103" s="15">
        <v>10</v>
      </c>
      <c r="I103" s="163">
        <v>400</v>
      </c>
      <c r="J103" s="15">
        <v>4</v>
      </c>
      <c r="K103" s="163" t="s">
        <v>38</v>
      </c>
      <c r="L103" s="15">
        <v>2</v>
      </c>
      <c r="M103" s="188">
        <v>5.9</v>
      </c>
      <c r="N103" s="169" t="s">
        <v>11</v>
      </c>
    </row>
    <row r="104" spans="1:14" x14ac:dyDescent="0.25">
      <c r="A104" s="63" t="s">
        <v>8</v>
      </c>
      <c r="B104" s="70" t="s">
        <v>2283</v>
      </c>
      <c r="C104" s="2">
        <v>4058075702882</v>
      </c>
      <c r="D104" s="84"/>
      <c r="E104" s="85"/>
      <c r="F104" s="16"/>
      <c r="G104" s="156" t="str">
        <f>HYPERLINK("https://ledvance.com/pt/product-datasheet/207596/181613","Ficha Técnica")</f>
        <v>Ficha Técnica</v>
      </c>
      <c r="H104" s="15">
        <v>10</v>
      </c>
      <c r="I104" s="163">
        <v>400</v>
      </c>
      <c r="J104" s="15">
        <v>4</v>
      </c>
      <c r="K104" s="163" t="s">
        <v>38</v>
      </c>
      <c r="L104" s="15">
        <v>2</v>
      </c>
      <c r="M104" s="188">
        <v>5.9</v>
      </c>
      <c r="N104" s="169" t="s">
        <v>11</v>
      </c>
    </row>
    <row r="105" spans="1:14" x14ac:dyDescent="0.25">
      <c r="A105" s="63" t="s">
        <v>8</v>
      </c>
      <c r="B105" s="70" t="s">
        <v>2284</v>
      </c>
      <c r="C105" s="2">
        <v>4058075702929</v>
      </c>
      <c r="D105" s="84"/>
      <c r="E105" s="85"/>
      <c r="F105" s="16"/>
      <c r="G105" s="156" t="str">
        <f>HYPERLINK("https://ledvance.com/pt/product-datasheet/207596/181616","Ficha Técnica")</f>
        <v>Ficha Técnica</v>
      </c>
      <c r="H105" s="15">
        <v>10</v>
      </c>
      <c r="I105" s="163">
        <v>400</v>
      </c>
      <c r="J105" s="15">
        <v>4</v>
      </c>
      <c r="K105" s="163" t="s">
        <v>38</v>
      </c>
      <c r="L105" s="15">
        <v>2</v>
      </c>
      <c r="M105" s="188">
        <v>5.9</v>
      </c>
      <c r="N105" s="169" t="s">
        <v>11</v>
      </c>
    </row>
    <row r="106" spans="1:14" x14ac:dyDescent="0.25">
      <c r="A106" s="63" t="s">
        <v>8</v>
      </c>
      <c r="B106" s="70" t="s">
        <v>2285</v>
      </c>
      <c r="C106" s="2">
        <v>4058075702943</v>
      </c>
      <c r="D106" s="84"/>
      <c r="E106" s="85"/>
      <c r="F106" s="16"/>
      <c r="G106" s="156" t="str">
        <f>HYPERLINK("https://ledvance.com/pt/product-datasheet/207596/181620","Ficha Técnica")</f>
        <v>Ficha Técnica</v>
      </c>
      <c r="H106" s="15">
        <v>10</v>
      </c>
      <c r="I106" s="163">
        <v>800</v>
      </c>
      <c r="J106" s="15">
        <v>8</v>
      </c>
      <c r="K106" s="163" t="s">
        <v>38</v>
      </c>
      <c r="L106" s="15">
        <v>2</v>
      </c>
      <c r="M106" s="188">
        <v>8.8000000000000007</v>
      </c>
      <c r="N106" s="169" t="s">
        <v>11</v>
      </c>
    </row>
    <row r="107" spans="1:14" x14ac:dyDescent="0.25">
      <c r="A107" s="63" t="s">
        <v>8</v>
      </c>
      <c r="B107" s="70" t="s">
        <v>2286</v>
      </c>
      <c r="C107" s="2">
        <v>4058075702967</v>
      </c>
      <c r="D107" s="84"/>
      <c r="E107" s="85"/>
      <c r="F107" s="16"/>
      <c r="G107" s="156" t="str">
        <f>HYPERLINK("https://ledvance.com/pt/product-datasheet/207596/181623","Ficha Técnica")</f>
        <v>Ficha Técnica</v>
      </c>
      <c r="H107" s="15">
        <v>10</v>
      </c>
      <c r="I107" s="163">
        <v>800</v>
      </c>
      <c r="J107" s="15">
        <v>8</v>
      </c>
      <c r="K107" s="163" t="s">
        <v>38</v>
      </c>
      <c r="L107" s="15">
        <v>2</v>
      </c>
      <c r="M107" s="188">
        <v>8.8000000000000007</v>
      </c>
      <c r="N107" s="169" t="s">
        <v>11</v>
      </c>
    </row>
    <row r="108" spans="1:14" x14ac:dyDescent="0.25">
      <c r="A108" s="63" t="s">
        <v>8</v>
      </c>
      <c r="B108" s="70" t="s">
        <v>2287</v>
      </c>
      <c r="C108" s="2">
        <v>4058075703025</v>
      </c>
      <c r="D108" s="84"/>
      <c r="E108" s="85"/>
      <c r="F108" s="16"/>
      <c r="G108" s="156" t="str">
        <f>HYPERLINK("https://ledvance.com/pt/product-datasheet/207596/181626","Ficha Técnica")</f>
        <v>Ficha Técnica</v>
      </c>
      <c r="H108" s="15">
        <v>10</v>
      </c>
      <c r="I108" s="163">
        <v>800</v>
      </c>
      <c r="J108" s="15">
        <v>8</v>
      </c>
      <c r="K108" s="163" t="s">
        <v>38</v>
      </c>
      <c r="L108" s="15">
        <v>2</v>
      </c>
      <c r="M108" s="188">
        <v>8.8000000000000007</v>
      </c>
      <c r="N108" s="169" t="s">
        <v>11</v>
      </c>
    </row>
    <row r="109" spans="1:14" x14ac:dyDescent="0.25">
      <c r="A109" s="63" t="s">
        <v>8</v>
      </c>
      <c r="B109" s="70" t="s">
        <v>2288</v>
      </c>
      <c r="C109" s="2">
        <v>4058075703049</v>
      </c>
      <c r="D109" s="84"/>
      <c r="E109" s="85"/>
      <c r="F109" s="16"/>
      <c r="G109" s="156" t="str">
        <f>HYPERLINK("https://ledvance.com/pt/product-datasheet/207596/181629","Ficha Técnica")</f>
        <v>Ficha Técnica</v>
      </c>
      <c r="H109" s="15">
        <v>10</v>
      </c>
      <c r="I109" s="163">
        <v>1300</v>
      </c>
      <c r="J109" s="15">
        <v>13</v>
      </c>
      <c r="K109" s="163" t="s">
        <v>38</v>
      </c>
      <c r="L109" s="15">
        <v>2</v>
      </c>
      <c r="M109" s="188">
        <v>12.7</v>
      </c>
      <c r="N109" s="169" t="s">
        <v>11</v>
      </c>
    </row>
    <row r="110" spans="1:14" x14ac:dyDescent="0.25">
      <c r="A110" s="63" t="s">
        <v>8</v>
      </c>
      <c r="B110" s="70" t="s">
        <v>2289</v>
      </c>
      <c r="C110" s="2">
        <v>4058075703087</v>
      </c>
      <c r="D110" s="84"/>
      <c r="E110" s="85"/>
      <c r="F110" s="16"/>
      <c r="G110" s="156" t="str">
        <f>HYPERLINK("https://ledvance.com/pt/product-datasheet/207596/181632","Ficha Técnica")</f>
        <v>Ficha Técnica</v>
      </c>
      <c r="H110" s="15">
        <v>10</v>
      </c>
      <c r="I110" s="163">
        <v>1300</v>
      </c>
      <c r="J110" s="15">
        <v>13</v>
      </c>
      <c r="K110" s="163" t="s">
        <v>38</v>
      </c>
      <c r="L110" s="15">
        <v>2</v>
      </c>
      <c r="M110" s="188">
        <v>12.7</v>
      </c>
      <c r="N110" s="169" t="s">
        <v>11</v>
      </c>
    </row>
    <row r="111" spans="1:14" x14ac:dyDescent="0.25">
      <c r="A111" s="63" t="s">
        <v>8</v>
      </c>
      <c r="B111" s="70" t="s">
        <v>2290</v>
      </c>
      <c r="C111" s="2">
        <v>4058075703100</v>
      </c>
      <c r="D111" s="84"/>
      <c r="E111" s="85"/>
      <c r="F111" s="16"/>
      <c r="G111" s="156" t="str">
        <f>HYPERLINK("https://ledvance.com/pt/product-datasheet/207596/181637","Ficha Técnica")</f>
        <v>Ficha Técnica</v>
      </c>
      <c r="H111" s="15">
        <v>10</v>
      </c>
      <c r="I111" s="163">
        <v>1300</v>
      </c>
      <c r="J111" s="15">
        <v>13</v>
      </c>
      <c r="K111" s="163" t="s">
        <v>38</v>
      </c>
      <c r="L111" s="15">
        <v>2</v>
      </c>
      <c r="M111" s="188">
        <v>12.7</v>
      </c>
      <c r="N111" s="169" t="s">
        <v>11</v>
      </c>
    </row>
    <row r="112" spans="1:14" x14ac:dyDescent="0.25">
      <c r="A112" s="63" t="s">
        <v>8</v>
      </c>
      <c r="B112" s="70" t="s">
        <v>2291</v>
      </c>
      <c r="C112" s="2">
        <v>4058075703124</v>
      </c>
      <c r="D112" s="84"/>
      <c r="E112" s="85"/>
      <c r="F112" s="16"/>
      <c r="G112" s="156" t="str">
        <f>HYPERLINK("https://ledvance.com/pt/product-datasheet/207596/181642","Ficha Técnica")</f>
        <v>Ficha Técnica</v>
      </c>
      <c r="H112" s="15">
        <v>10</v>
      </c>
      <c r="I112" s="163">
        <v>1800</v>
      </c>
      <c r="J112" s="15">
        <v>18</v>
      </c>
      <c r="K112" s="163" t="s">
        <v>38</v>
      </c>
      <c r="L112" s="15">
        <v>2</v>
      </c>
      <c r="M112" s="188">
        <v>16.5</v>
      </c>
      <c r="N112" s="169" t="s">
        <v>11</v>
      </c>
    </row>
    <row r="113" spans="1:14" x14ac:dyDescent="0.25">
      <c r="A113" s="63" t="s">
        <v>8</v>
      </c>
      <c r="B113" s="70" t="s">
        <v>2292</v>
      </c>
      <c r="C113" s="2">
        <v>4058075703148</v>
      </c>
      <c r="D113" s="84"/>
      <c r="E113" s="85"/>
      <c r="F113" s="16"/>
      <c r="G113" s="156" t="str">
        <f>HYPERLINK("https://ledvance.com/pt/product-datasheet/207596/181646","Ficha Técnica")</f>
        <v>Ficha Técnica</v>
      </c>
      <c r="H113" s="15">
        <v>10</v>
      </c>
      <c r="I113" s="163">
        <v>1800</v>
      </c>
      <c r="J113" s="15">
        <v>18</v>
      </c>
      <c r="K113" s="163" t="s">
        <v>38</v>
      </c>
      <c r="L113" s="15">
        <v>2</v>
      </c>
      <c r="M113" s="188">
        <v>16.5</v>
      </c>
      <c r="N113" s="169" t="s">
        <v>11</v>
      </c>
    </row>
    <row r="114" spans="1:14" x14ac:dyDescent="0.25">
      <c r="A114" s="63" t="s">
        <v>8</v>
      </c>
      <c r="B114" s="70" t="s">
        <v>2293</v>
      </c>
      <c r="C114" s="2">
        <v>4058075703179</v>
      </c>
      <c r="D114" s="84"/>
      <c r="E114" s="85"/>
      <c r="F114" s="16"/>
      <c r="G114" s="156" t="str">
        <f>HYPERLINK("https://ledvance.com/pt/product-datasheet/207596/181650","Ficha Técnica")</f>
        <v>Ficha Técnica</v>
      </c>
      <c r="H114" s="15">
        <v>10</v>
      </c>
      <c r="I114" s="163">
        <v>1800</v>
      </c>
      <c r="J114" s="15">
        <v>18</v>
      </c>
      <c r="K114" s="163" t="s">
        <v>38</v>
      </c>
      <c r="L114" s="15">
        <v>2</v>
      </c>
      <c r="M114" s="188">
        <v>16.5</v>
      </c>
      <c r="N114" s="169" t="s">
        <v>11</v>
      </c>
    </row>
    <row r="115" spans="1:14" x14ac:dyDescent="0.25">
      <c r="A115" s="63" t="s">
        <v>8</v>
      </c>
      <c r="B115" s="70" t="s">
        <v>2294</v>
      </c>
      <c r="C115" s="2">
        <v>4058075703193</v>
      </c>
      <c r="D115" s="84"/>
      <c r="E115" s="85"/>
      <c r="F115" s="16"/>
      <c r="G115" s="156" t="str">
        <f>HYPERLINK("https://ledvance.com/pt/product-datasheet/207596/181654","Ficha Técnica")</f>
        <v>Ficha Técnica</v>
      </c>
      <c r="H115" s="15">
        <v>10</v>
      </c>
      <c r="I115" s="163">
        <v>2400</v>
      </c>
      <c r="J115" s="15">
        <v>24</v>
      </c>
      <c r="K115" s="163" t="s">
        <v>38</v>
      </c>
      <c r="L115" s="15">
        <v>2</v>
      </c>
      <c r="M115" s="188">
        <v>20.100000000000001</v>
      </c>
      <c r="N115" s="169" t="s">
        <v>11</v>
      </c>
    </row>
    <row r="116" spans="1:14" x14ac:dyDescent="0.25">
      <c r="A116" s="63" t="s">
        <v>8</v>
      </c>
      <c r="B116" s="70" t="s">
        <v>2295</v>
      </c>
      <c r="C116" s="2">
        <v>4058075703223</v>
      </c>
      <c r="D116" s="84"/>
      <c r="E116" s="85"/>
      <c r="F116" s="16"/>
      <c r="G116" s="156" t="str">
        <f>HYPERLINK("https://ledvance.com/pt/product-datasheet/207596/181657","Ficha Técnica")</f>
        <v>Ficha Técnica</v>
      </c>
      <c r="H116" s="15">
        <v>10</v>
      </c>
      <c r="I116" s="163">
        <v>2400</v>
      </c>
      <c r="J116" s="15">
        <v>24</v>
      </c>
      <c r="K116" s="163" t="s">
        <v>38</v>
      </c>
      <c r="L116" s="15">
        <v>2</v>
      </c>
      <c r="M116" s="188">
        <v>20.100000000000001</v>
      </c>
      <c r="N116" s="169" t="s">
        <v>11</v>
      </c>
    </row>
    <row r="117" spans="1:14" x14ac:dyDescent="0.25">
      <c r="A117" s="63" t="s">
        <v>8</v>
      </c>
      <c r="B117" s="70" t="s">
        <v>2296</v>
      </c>
      <c r="C117" s="2">
        <v>4058075703247</v>
      </c>
      <c r="D117" s="84"/>
      <c r="E117" s="85"/>
      <c r="F117" s="16"/>
      <c r="G117" s="156" t="str">
        <f>HYPERLINK("https://ledvance.com/pt/product-datasheet/207596/181660","Ficha Técnica")</f>
        <v>Ficha Técnica</v>
      </c>
      <c r="H117" s="15">
        <v>10</v>
      </c>
      <c r="I117" s="163">
        <v>2400</v>
      </c>
      <c r="J117" s="15">
        <v>24</v>
      </c>
      <c r="K117" s="163" t="s">
        <v>38</v>
      </c>
      <c r="L117" s="15">
        <v>2</v>
      </c>
      <c r="M117" s="188">
        <v>20.100000000000001</v>
      </c>
      <c r="N117" s="169" t="s">
        <v>11</v>
      </c>
    </row>
    <row r="118" spans="1:14" x14ac:dyDescent="0.25">
      <c r="A118" s="63" t="s">
        <v>8</v>
      </c>
      <c r="B118" s="70" t="s">
        <v>2297</v>
      </c>
      <c r="C118" s="2">
        <v>4058075703285</v>
      </c>
      <c r="D118" s="84"/>
      <c r="E118" s="85"/>
      <c r="F118" s="16"/>
      <c r="G118" s="156" t="str">
        <f>HYPERLINK("https://ledvance.com/pt/product-datasheet/207596/181663","Ficha Técnica")</f>
        <v>Ficha Técnica</v>
      </c>
      <c r="H118" s="15">
        <v>10</v>
      </c>
      <c r="I118" s="163">
        <v>3000</v>
      </c>
      <c r="J118" s="15">
        <v>30</v>
      </c>
      <c r="K118" s="163" t="s">
        <v>38</v>
      </c>
      <c r="L118" s="15">
        <v>2</v>
      </c>
      <c r="M118" s="188">
        <v>26.9</v>
      </c>
      <c r="N118" s="169" t="s">
        <v>11</v>
      </c>
    </row>
    <row r="119" spans="1:14" x14ac:dyDescent="0.25">
      <c r="A119" s="63" t="s">
        <v>8</v>
      </c>
      <c r="B119" s="70" t="s">
        <v>2298</v>
      </c>
      <c r="C119" s="2">
        <v>4058075703308</v>
      </c>
      <c r="D119" s="84"/>
      <c r="E119" s="85"/>
      <c r="F119" s="16"/>
      <c r="G119" s="156" t="str">
        <f>HYPERLINK("https://ledvance.com/pt/product-datasheet/207596/181666","Ficha Técnica")</f>
        <v>Ficha Técnica</v>
      </c>
      <c r="H119" s="15">
        <v>10</v>
      </c>
      <c r="I119" s="163">
        <v>3000</v>
      </c>
      <c r="J119" s="15">
        <v>30</v>
      </c>
      <c r="K119" s="163" t="s">
        <v>38</v>
      </c>
      <c r="L119" s="15">
        <v>2</v>
      </c>
      <c r="M119" s="188">
        <v>26.9</v>
      </c>
      <c r="N119" s="169" t="s">
        <v>11</v>
      </c>
    </row>
    <row r="120" spans="1:14" x14ac:dyDescent="0.25">
      <c r="A120" s="63" t="s">
        <v>8</v>
      </c>
      <c r="B120" s="70" t="s">
        <v>2299</v>
      </c>
      <c r="C120" s="2">
        <v>4058075703322</v>
      </c>
      <c r="D120" s="84"/>
      <c r="E120" s="85"/>
      <c r="F120" s="16"/>
      <c r="G120" s="156" t="str">
        <f>HYPERLINK("https://ledvance.com/pt/product-datasheet/207596/181669","Ficha Técnica")</f>
        <v>Ficha Técnica</v>
      </c>
      <c r="H120" s="15">
        <v>10</v>
      </c>
      <c r="I120" s="163">
        <v>3000</v>
      </c>
      <c r="J120" s="15">
        <v>30</v>
      </c>
      <c r="K120" s="163" t="s">
        <v>38</v>
      </c>
      <c r="L120" s="15">
        <v>2</v>
      </c>
      <c r="M120" s="188">
        <v>26.9</v>
      </c>
      <c r="N120" s="169" t="s">
        <v>11</v>
      </c>
    </row>
    <row r="121" spans="1:14" x14ac:dyDescent="0.25">
      <c r="A121" s="63" t="s">
        <v>8</v>
      </c>
      <c r="B121" s="70" t="s">
        <v>39</v>
      </c>
      <c r="C121" s="2">
        <v>4058075709881</v>
      </c>
      <c r="D121" s="84"/>
      <c r="E121" s="85"/>
      <c r="F121" s="16"/>
      <c r="G121" s="156" t="str">
        <f>HYPERLINK("https://ledvance.com/pt/product-datasheet/207597/184086","Ficha Técnica")</f>
        <v>Ficha Técnica</v>
      </c>
      <c r="H121" s="15">
        <v>10</v>
      </c>
      <c r="I121" s="163"/>
      <c r="J121" s="15"/>
      <c r="K121" s="163"/>
      <c r="L121" s="15">
        <v>2</v>
      </c>
      <c r="M121" s="188">
        <v>2.1</v>
      </c>
      <c r="N121" s="169" t="s">
        <v>11</v>
      </c>
    </row>
    <row r="122" spans="1:14" x14ac:dyDescent="0.25">
      <c r="A122" s="63" t="s">
        <v>40</v>
      </c>
      <c r="B122" s="70" t="s">
        <v>41</v>
      </c>
      <c r="C122" s="2">
        <v>4058075709904</v>
      </c>
      <c r="D122" s="84"/>
      <c r="E122" s="85"/>
      <c r="F122" s="16"/>
      <c r="G122" s="156" t="str">
        <f>HYPERLINK("https://ledvance.com/pt/product-datasheet/207597/184089","Ficha Técnica")</f>
        <v>Ficha Técnica</v>
      </c>
      <c r="H122" s="15">
        <v>10</v>
      </c>
      <c r="I122" s="163"/>
      <c r="J122" s="15"/>
      <c r="K122" s="163"/>
      <c r="L122" s="15">
        <v>2</v>
      </c>
      <c r="M122" s="188">
        <v>3</v>
      </c>
      <c r="N122" s="169" t="s">
        <v>11</v>
      </c>
    </row>
    <row r="123" spans="1:14" x14ac:dyDescent="0.25">
      <c r="A123" s="63" t="s">
        <v>40</v>
      </c>
      <c r="B123" s="70" t="s">
        <v>42</v>
      </c>
      <c r="C123" s="2">
        <v>4058075709928</v>
      </c>
      <c r="D123" s="84"/>
      <c r="E123" s="85"/>
      <c r="F123" s="16"/>
      <c r="G123" s="156" t="str">
        <f>HYPERLINK("https://ledvance.com/pt/product-datasheet/207597/184092","Ficha Técnica")</f>
        <v>Ficha Técnica</v>
      </c>
      <c r="H123" s="15">
        <v>10</v>
      </c>
      <c r="I123" s="163"/>
      <c r="J123" s="15"/>
      <c r="K123" s="163"/>
      <c r="L123" s="15">
        <v>2</v>
      </c>
      <c r="M123" s="188">
        <v>4.5999999999999996</v>
      </c>
      <c r="N123" s="169" t="s">
        <v>11</v>
      </c>
    </row>
    <row r="124" spans="1:14" x14ac:dyDescent="0.25">
      <c r="A124" s="63" t="s">
        <v>40</v>
      </c>
      <c r="B124" s="70" t="s">
        <v>43</v>
      </c>
      <c r="C124" s="2">
        <v>4058075709942</v>
      </c>
      <c r="D124" s="84"/>
      <c r="E124" s="85"/>
      <c r="F124" s="16"/>
      <c r="G124" s="156" t="str">
        <f>HYPERLINK("https://ledvance.com/pt/product-datasheet/207597/184095","Ficha Técnica")</f>
        <v>Ficha Técnica</v>
      </c>
      <c r="H124" s="15">
        <v>10</v>
      </c>
      <c r="I124" s="163"/>
      <c r="J124" s="15"/>
      <c r="K124" s="163"/>
      <c r="L124" s="15">
        <v>2</v>
      </c>
      <c r="M124" s="188">
        <v>6.8</v>
      </c>
      <c r="N124" s="169" t="s">
        <v>11</v>
      </c>
    </row>
    <row r="125" spans="1:14" x14ac:dyDescent="0.25">
      <c r="A125" s="63" t="s">
        <v>40</v>
      </c>
      <c r="B125" s="70" t="s">
        <v>44</v>
      </c>
      <c r="C125" s="2">
        <v>4058075709966</v>
      </c>
      <c r="D125" s="84"/>
      <c r="E125" s="85"/>
      <c r="F125" s="16"/>
      <c r="G125" s="156" t="str">
        <f>HYPERLINK("https://ledvance.com/pt/product-datasheet/207597/184098","Ficha Técnica")</f>
        <v>Ficha Técnica</v>
      </c>
      <c r="H125" s="15">
        <v>10</v>
      </c>
      <c r="I125" s="163"/>
      <c r="J125" s="15"/>
      <c r="K125" s="163"/>
      <c r="L125" s="15">
        <v>2</v>
      </c>
      <c r="M125" s="188">
        <v>7.7</v>
      </c>
      <c r="N125" s="169" t="s">
        <v>11</v>
      </c>
    </row>
    <row r="126" spans="1:14" x14ac:dyDescent="0.25">
      <c r="A126" s="66" t="s">
        <v>8</v>
      </c>
      <c r="B126" s="69" t="s">
        <v>2085</v>
      </c>
      <c r="C126" s="51"/>
      <c r="D126" s="65"/>
      <c r="E126" s="86"/>
      <c r="F126" s="12"/>
      <c r="G126" s="157"/>
      <c r="H126" s="12"/>
      <c r="I126" s="62"/>
      <c r="J126" s="27"/>
      <c r="K126" s="62"/>
      <c r="L126" s="12"/>
      <c r="M126" s="191"/>
      <c r="N126" s="65"/>
    </row>
    <row r="127" spans="1:14" x14ac:dyDescent="0.25">
      <c r="A127" s="63" t="s">
        <v>8</v>
      </c>
      <c r="B127" s="70" t="s">
        <v>45</v>
      </c>
      <c r="C127" s="2">
        <v>4058075063921</v>
      </c>
      <c r="D127" s="84"/>
      <c r="E127" s="85"/>
      <c r="F127" s="16"/>
      <c r="G127" s="156" t="str">
        <f>HYPERLINK("https://ledvance.com/pt/product-datasheet/8464/92738","Ficha Técnica")</f>
        <v>Ficha Técnica</v>
      </c>
      <c r="H127" s="15">
        <v>10</v>
      </c>
      <c r="I127" s="163">
        <v>1350</v>
      </c>
      <c r="J127" s="15">
        <v>17</v>
      </c>
      <c r="K127" s="163" t="s">
        <v>46</v>
      </c>
      <c r="L127" s="15">
        <v>5</v>
      </c>
      <c r="M127" s="188">
        <v>21.7</v>
      </c>
      <c r="N127" s="169" t="s">
        <v>11</v>
      </c>
    </row>
    <row r="128" spans="1:14" x14ac:dyDescent="0.25">
      <c r="A128" s="63" t="s">
        <v>8</v>
      </c>
      <c r="B128" s="70" t="s">
        <v>47</v>
      </c>
      <c r="C128" s="2">
        <v>4058075063945</v>
      </c>
      <c r="D128" s="84"/>
      <c r="E128" s="85"/>
      <c r="F128" s="16"/>
      <c r="G128" s="156" t="str">
        <f>HYPERLINK("https://ledvance.com/pt/product-datasheet/8464/92741","Ficha Técnica")</f>
        <v>Ficha Técnica</v>
      </c>
      <c r="H128" s="15">
        <v>10</v>
      </c>
      <c r="I128" s="163">
        <v>1400</v>
      </c>
      <c r="J128" s="15">
        <v>17</v>
      </c>
      <c r="K128" s="163" t="s">
        <v>46</v>
      </c>
      <c r="L128" s="15">
        <v>5</v>
      </c>
      <c r="M128" s="188">
        <v>21.7</v>
      </c>
      <c r="N128" s="169" t="s">
        <v>11</v>
      </c>
    </row>
    <row r="129" spans="1:14" x14ac:dyDescent="0.25">
      <c r="A129" s="63" t="s">
        <v>8</v>
      </c>
      <c r="B129" s="70" t="s">
        <v>48</v>
      </c>
      <c r="C129" s="2">
        <v>4058075064003</v>
      </c>
      <c r="D129" s="84"/>
      <c r="E129" s="85"/>
      <c r="F129" s="16"/>
      <c r="G129" s="156" t="str">
        <f>HYPERLINK("https://ledvance.com/pt/product-datasheet/8464/93808","Ficha Técnica")</f>
        <v>Ficha Técnica</v>
      </c>
      <c r="H129" s="15">
        <v>10</v>
      </c>
      <c r="I129" s="163">
        <v>1850</v>
      </c>
      <c r="J129" s="15">
        <v>22</v>
      </c>
      <c r="K129" s="163" t="s">
        <v>46</v>
      </c>
      <c r="L129" s="15">
        <v>5</v>
      </c>
      <c r="M129" s="188">
        <v>28.8</v>
      </c>
      <c r="N129" s="169" t="s">
        <v>11</v>
      </c>
    </row>
    <row r="130" spans="1:14" x14ac:dyDescent="0.25">
      <c r="A130" s="63" t="s">
        <v>8</v>
      </c>
      <c r="B130" s="70" t="s">
        <v>49</v>
      </c>
      <c r="C130" s="2">
        <v>4058075064027</v>
      </c>
      <c r="D130" s="84"/>
      <c r="E130" s="85"/>
      <c r="F130" s="16"/>
      <c r="G130" s="156" t="str">
        <f>HYPERLINK("https://ledvance.com/pt/product-datasheet/8464/93811","Ficha Técnica")</f>
        <v>Ficha Técnica</v>
      </c>
      <c r="H130" s="15">
        <v>10</v>
      </c>
      <c r="I130" s="163">
        <v>1920</v>
      </c>
      <c r="J130" s="15">
        <v>22</v>
      </c>
      <c r="K130" s="163" t="s">
        <v>46</v>
      </c>
      <c r="L130" s="15">
        <v>5</v>
      </c>
      <c r="M130" s="188">
        <v>28.8</v>
      </c>
      <c r="N130" s="169" t="s">
        <v>11</v>
      </c>
    </row>
    <row r="131" spans="1:14" x14ac:dyDescent="0.25">
      <c r="A131" s="66" t="s">
        <v>8</v>
      </c>
      <c r="B131" s="69" t="s">
        <v>2084</v>
      </c>
      <c r="C131" s="51"/>
      <c r="D131" s="65"/>
      <c r="E131" s="86"/>
      <c r="F131" s="12"/>
      <c r="G131" s="157"/>
      <c r="H131" s="12"/>
      <c r="I131" s="62"/>
      <c r="J131" s="27"/>
      <c r="K131" s="62"/>
      <c r="L131" s="12"/>
      <c r="M131" s="191"/>
      <c r="N131" s="65"/>
    </row>
    <row r="132" spans="1:14" x14ac:dyDescent="0.25">
      <c r="A132" s="63" t="s">
        <v>8</v>
      </c>
      <c r="B132" s="70" t="s">
        <v>2300</v>
      </c>
      <c r="C132" s="2">
        <v>4099854441776</v>
      </c>
      <c r="D132" s="84"/>
      <c r="E132" s="61"/>
      <c r="F132" s="16"/>
      <c r="G132" s="156" t="str">
        <f>HYPERLINK("https://ledvance.com/pt/product-datasheet/357979/341084","Ficha Técnica")</f>
        <v>Ficha Técnica</v>
      </c>
      <c r="H132" s="15" t="s">
        <v>2098</v>
      </c>
      <c r="I132" s="163" t="s">
        <v>3986</v>
      </c>
      <c r="J132" s="207" t="s">
        <v>3981</v>
      </c>
      <c r="K132" s="163" t="s">
        <v>20</v>
      </c>
      <c r="L132" s="15">
        <v>5</v>
      </c>
      <c r="M132" s="188">
        <v>18.100000000000001</v>
      </c>
      <c r="N132" s="169" t="s">
        <v>11</v>
      </c>
    </row>
    <row r="133" spans="1:14" x14ac:dyDescent="0.25">
      <c r="A133" s="63" t="s">
        <v>8</v>
      </c>
      <c r="B133" s="70" t="s">
        <v>2301</v>
      </c>
      <c r="C133" s="2">
        <v>4099854441790</v>
      </c>
      <c r="D133" s="84"/>
      <c r="E133" s="61"/>
      <c r="F133" s="16"/>
      <c r="G133" s="156" t="str">
        <f>HYPERLINK("https://ledvance.com/pt/product-datasheet/357979/341090","Ficha Técnica")</f>
        <v>Ficha Técnica</v>
      </c>
      <c r="H133" s="15" t="s">
        <v>2098</v>
      </c>
      <c r="I133" s="163" t="s">
        <v>3987</v>
      </c>
      <c r="J133" s="15" t="s">
        <v>3960</v>
      </c>
      <c r="K133" s="163" t="s">
        <v>20</v>
      </c>
      <c r="L133" s="15">
        <v>5</v>
      </c>
      <c r="M133" s="188">
        <v>20.8</v>
      </c>
      <c r="N133" s="169" t="s">
        <v>11</v>
      </c>
    </row>
    <row r="134" spans="1:14" x14ac:dyDescent="0.25">
      <c r="A134" s="63" t="s">
        <v>8</v>
      </c>
      <c r="B134" s="70" t="s">
        <v>2302</v>
      </c>
      <c r="C134" s="2">
        <v>4099854441813</v>
      </c>
      <c r="D134" s="84"/>
      <c r="E134" s="61"/>
      <c r="F134" s="16"/>
      <c r="G134" s="156" t="str">
        <f>HYPERLINK("https://ledvance.com/pt/product-datasheet/357979/341096","Ficha Técnica")</f>
        <v>Ficha Técnica</v>
      </c>
      <c r="H134" s="15" t="s">
        <v>2099</v>
      </c>
      <c r="I134" s="163" t="s">
        <v>3988</v>
      </c>
      <c r="J134" s="15" t="s">
        <v>3961</v>
      </c>
      <c r="K134" s="163" t="s">
        <v>20</v>
      </c>
      <c r="L134" s="15">
        <v>5</v>
      </c>
      <c r="M134" s="188">
        <v>24.1</v>
      </c>
      <c r="N134" s="169" t="s">
        <v>11</v>
      </c>
    </row>
    <row r="135" spans="1:14" x14ac:dyDescent="0.25">
      <c r="A135" s="63" t="s">
        <v>8</v>
      </c>
      <c r="B135" s="70" t="s">
        <v>2303</v>
      </c>
      <c r="C135" s="2">
        <v>4099854441844</v>
      </c>
      <c r="D135" s="84"/>
      <c r="E135" s="61"/>
      <c r="F135" s="16"/>
      <c r="G135" s="156" t="str">
        <f>HYPERLINK("https://ledvance.com/pt/product-datasheet/357979/341102","Ficha Técnica")</f>
        <v>Ficha Técnica</v>
      </c>
      <c r="H135" s="15" t="s">
        <v>2099</v>
      </c>
      <c r="I135" s="163" t="s">
        <v>3989</v>
      </c>
      <c r="J135" s="15" t="s">
        <v>3962</v>
      </c>
      <c r="K135" s="163" t="s">
        <v>20</v>
      </c>
      <c r="L135" s="15">
        <v>5</v>
      </c>
      <c r="M135" s="188">
        <v>29.6</v>
      </c>
      <c r="N135" s="169" t="s">
        <v>11</v>
      </c>
    </row>
    <row r="136" spans="1:14" x14ac:dyDescent="0.25">
      <c r="A136" s="63" t="s">
        <v>8</v>
      </c>
      <c r="B136" s="70" t="s">
        <v>2304</v>
      </c>
      <c r="C136" s="2">
        <v>4099854441868</v>
      </c>
      <c r="D136" s="84"/>
      <c r="E136" s="61"/>
      <c r="F136" s="16"/>
      <c r="G136" s="156" t="str">
        <f>HYPERLINK("https://ledvance.com/pt/product-datasheet/357979/341105","Ficha Técnica")</f>
        <v>Ficha Técnica</v>
      </c>
      <c r="H136" s="15" t="s">
        <v>2100</v>
      </c>
      <c r="I136" s="163" t="s">
        <v>3990</v>
      </c>
      <c r="J136" s="15" t="s">
        <v>3963</v>
      </c>
      <c r="K136" s="163" t="s">
        <v>20</v>
      </c>
      <c r="L136" s="15">
        <v>5</v>
      </c>
      <c r="M136" s="188">
        <v>39.4</v>
      </c>
      <c r="N136" s="169" t="s">
        <v>11</v>
      </c>
    </row>
    <row r="137" spans="1:14" x14ac:dyDescent="0.25">
      <c r="A137" s="66" t="s">
        <v>8</v>
      </c>
      <c r="B137" s="69" t="s">
        <v>2086</v>
      </c>
      <c r="C137" s="51"/>
      <c r="D137" s="65"/>
      <c r="E137" s="86"/>
      <c r="F137" s="12"/>
      <c r="G137" s="157"/>
      <c r="H137" s="12"/>
      <c r="I137" s="62"/>
      <c r="J137" s="27"/>
      <c r="K137" s="62"/>
      <c r="L137" s="12"/>
      <c r="M137" s="191"/>
      <c r="N137" s="65"/>
    </row>
    <row r="138" spans="1:14" x14ac:dyDescent="0.25">
      <c r="A138" s="63" t="s">
        <v>8</v>
      </c>
      <c r="B138" s="70" t="s">
        <v>2305</v>
      </c>
      <c r="C138" s="2">
        <v>4099854441899</v>
      </c>
      <c r="D138" s="84"/>
      <c r="E138" s="87"/>
      <c r="F138" s="14"/>
      <c r="G138" s="156" t="str">
        <f>HYPERLINK("https://ledvance.com/pt/product-datasheet/357980/341108","Ficha Técnica")</f>
        <v>Ficha Técnica</v>
      </c>
      <c r="H138" s="58" t="s">
        <v>2098</v>
      </c>
      <c r="I138" s="164" t="s">
        <v>3991</v>
      </c>
      <c r="J138" s="206" t="s">
        <v>3964</v>
      </c>
      <c r="K138" s="164" t="s">
        <v>20</v>
      </c>
      <c r="L138" s="58">
        <v>5</v>
      </c>
      <c r="M138" s="188">
        <v>52.7</v>
      </c>
      <c r="N138" s="169" t="s">
        <v>11</v>
      </c>
    </row>
    <row r="139" spans="1:14" x14ac:dyDescent="0.25">
      <c r="A139" s="63" t="s">
        <v>8</v>
      </c>
      <c r="B139" s="70" t="s">
        <v>2306</v>
      </c>
      <c r="C139" s="2">
        <v>4099854441912</v>
      </c>
      <c r="D139" s="84"/>
      <c r="E139" s="87"/>
      <c r="F139" s="14"/>
      <c r="G139" s="156" t="str">
        <f>HYPERLINK("https://ledvance.com/pt/product-datasheet/357980/341081","Ficha Técnica")</f>
        <v>Ficha Técnica</v>
      </c>
      <c r="H139" s="58" t="s">
        <v>2098</v>
      </c>
      <c r="I139" s="164" t="s">
        <v>3992</v>
      </c>
      <c r="J139" s="206" t="s">
        <v>3965</v>
      </c>
      <c r="K139" s="164" t="s">
        <v>20</v>
      </c>
      <c r="L139" s="58">
        <v>5</v>
      </c>
      <c r="M139" s="188">
        <v>55.4</v>
      </c>
      <c r="N139" s="169" t="s">
        <v>11</v>
      </c>
    </row>
    <row r="140" spans="1:14" x14ac:dyDescent="0.25">
      <c r="A140" s="63" t="s">
        <v>8</v>
      </c>
      <c r="B140" s="70" t="s">
        <v>2307</v>
      </c>
      <c r="C140" s="2">
        <v>4099854441936</v>
      </c>
      <c r="D140" s="84"/>
      <c r="E140" s="87"/>
      <c r="F140" s="14"/>
      <c r="G140" s="156" t="str">
        <f>HYPERLINK("https://ledvance.com/pt/product-datasheet/357980/341085","Ficha Técnica")</f>
        <v>Ficha Técnica</v>
      </c>
      <c r="H140" s="58" t="s">
        <v>2099</v>
      </c>
      <c r="I140" s="164" t="s">
        <v>3993</v>
      </c>
      <c r="J140" s="206" t="s">
        <v>3966</v>
      </c>
      <c r="K140" s="164" t="s">
        <v>20</v>
      </c>
      <c r="L140" s="58">
        <v>5</v>
      </c>
      <c r="M140" s="188">
        <v>58.8</v>
      </c>
      <c r="N140" s="169" t="s">
        <v>11</v>
      </c>
    </row>
    <row r="141" spans="1:14" x14ac:dyDescent="0.25">
      <c r="A141" s="63" t="s">
        <v>8</v>
      </c>
      <c r="B141" s="70" t="s">
        <v>2308</v>
      </c>
      <c r="C141" s="2">
        <v>4099854441950</v>
      </c>
      <c r="D141" s="84"/>
      <c r="E141" s="87"/>
      <c r="F141" s="14"/>
      <c r="G141" s="156" t="str">
        <f>HYPERLINK("https://ledvance.com/pt/product-datasheet/357980/341091","Ficha Técnica")</f>
        <v>Ficha Técnica</v>
      </c>
      <c r="H141" s="58" t="s">
        <v>2099</v>
      </c>
      <c r="I141" s="164" t="s">
        <v>3994</v>
      </c>
      <c r="J141" s="206" t="s">
        <v>3967</v>
      </c>
      <c r="K141" s="164" t="s">
        <v>20</v>
      </c>
      <c r="L141" s="58">
        <v>5</v>
      </c>
      <c r="M141" s="188">
        <v>64.2</v>
      </c>
      <c r="N141" s="169" t="s">
        <v>11</v>
      </c>
    </row>
    <row r="142" spans="1:14" x14ac:dyDescent="0.25">
      <c r="A142" s="63" t="s">
        <v>8</v>
      </c>
      <c r="B142" s="70" t="s">
        <v>2309</v>
      </c>
      <c r="C142" s="2">
        <v>4099854441974</v>
      </c>
      <c r="D142" s="84"/>
      <c r="E142" s="87"/>
      <c r="F142" s="14"/>
      <c r="G142" s="156" t="str">
        <f>HYPERLINK("https://ledvance.com/pt/product-datasheet/357980/341097","Ficha Técnica")</f>
        <v>Ficha Técnica</v>
      </c>
      <c r="H142" s="58" t="s">
        <v>2100</v>
      </c>
      <c r="I142" s="164" t="s">
        <v>3995</v>
      </c>
      <c r="J142" s="206" t="s">
        <v>4005</v>
      </c>
      <c r="K142" s="164" t="s">
        <v>20</v>
      </c>
      <c r="L142" s="58">
        <v>5</v>
      </c>
      <c r="M142" s="188">
        <v>74</v>
      </c>
      <c r="N142" s="169" t="s">
        <v>11</v>
      </c>
    </row>
    <row r="143" spans="1:14" x14ac:dyDescent="0.25">
      <c r="A143" s="66" t="s">
        <v>40</v>
      </c>
      <c r="B143" s="69" t="s">
        <v>2120</v>
      </c>
      <c r="C143" s="51"/>
      <c r="D143" s="65"/>
      <c r="E143" s="86"/>
      <c r="F143" s="12"/>
      <c r="G143" s="157"/>
      <c r="H143" s="12"/>
      <c r="I143" s="62"/>
      <c r="J143" s="27"/>
      <c r="K143" s="62"/>
      <c r="L143" s="12"/>
      <c r="M143" s="191"/>
      <c r="N143" s="65"/>
    </row>
    <row r="144" spans="1:14" x14ac:dyDescent="0.25">
      <c r="A144" s="63" t="s">
        <v>40</v>
      </c>
      <c r="B144" s="70" t="s">
        <v>2057</v>
      </c>
      <c r="C144" s="2">
        <v>4099854475986</v>
      </c>
      <c r="D144" s="84"/>
      <c r="E144" s="61"/>
      <c r="F144" s="16"/>
      <c r="G144" s="156" t="str">
        <f>HYPERLINK("https://ledvance.com/pt/product-datasheet/357982/347959","Ficha Técnica")</f>
        <v>Ficha Técnica</v>
      </c>
      <c r="H144" s="15" t="s">
        <v>2100</v>
      </c>
      <c r="I144" s="163"/>
      <c r="J144" s="15"/>
      <c r="K144" s="163"/>
      <c r="L144" s="15"/>
      <c r="M144" s="188">
        <v>7.1</v>
      </c>
      <c r="N144" s="169" t="s">
        <v>11</v>
      </c>
    </row>
    <row r="145" spans="1:14" x14ac:dyDescent="0.25">
      <c r="A145" s="63" t="s">
        <v>40</v>
      </c>
      <c r="B145" s="70" t="s">
        <v>2058</v>
      </c>
      <c r="C145" s="2">
        <v>4099854476006</v>
      </c>
      <c r="D145" s="84"/>
      <c r="E145" s="61"/>
      <c r="F145" s="16"/>
      <c r="G145" s="156" t="str">
        <f>HYPERLINK("https://ledvance.com/pt/product-datasheet/357982/347962","Ficha Técnica")</f>
        <v>Ficha Técnica</v>
      </c>
      <c r="H145" s="15" t="s">
        <v>2100</v>
      </c>
      <c r="I145" s="163"/>
      <c r="J145" s="15"/>
      <c r="K145" s="163"/>
      <c r="L145" s="15"/>
      <c r="M145" s="188">
        <v>8.6999999999999993</v>
      </c>
      <c r="N145" s="169" t="s">
        <v>11</v>
      </c>
    </row>
    <row r="146" spans="1:14" x14ac:dyDescent="0.25">
      <c r="A146" s="63" t="s">
        <v>40</v>
      </c>
      <c r="B146" s="70" t="s">
        <v>2059</v>
      </c>
      <c r="C146" s="2">
        <v>4099854476037</v>
      </c>
      <c r="D146" s="84"/>
      <c r="E146" s="61"/>
      <c r="F146" s="16"/>
      <c r="G146" s="156" t="str">
        <f>HYPERLINK("https://ledvance.com/pt/product-datasheet/357982/347965","Ficha Técnica")</f>
        <v>Ficha Técnica</v>
      </c>
      <c r="H146" s="15" t="s">
        <v>2100</v>
      </c>
      <c r="I146" s="163"/>
      <c r="J146" s="15"/>
      <c r="K146" s="163"/>
      <c r="L146" s="15"/>
      <c r="M146" s="188">
        <v>9.6999999999999993</v>
      </c>
      <c r="N146" s="169" t="s">
        <v>11</v>
      </c>
    </row>
    <row r="147" spans="1:14" x14ac:dyDescent="0.25">
      <c r="A147" s="63" t="s">
        <v>40</v>
      </c>
      <c r="B147" s="70" t="s">
        <v>2060</v>
      </c>
      <c r="C147" s="2">
        <v>4099854476051</v>
      </c>
      <c r="D147" s="84"/>
      <c r="E147" s="61"/>
      <c r="F147" s="16"/>
      <c r="G147" s="156" t="str">
        <f>HYPERLINK("https://ledvance.com/pt/product-datasheet/357982/347968","Ficha Técnica")</f>
        <v>Ficha Técnica</v>
      </c>
      <c r="H147" s="15" t="s">
        <v>2100</v>
      </c>
      <c r="I147" s="163"/>
      <c r="J147" s="15"/>
      <c r="K147" s="163"/>
      <c r="L147" s="15"/>
      <c r="M147" s="188">
        <v>11.8</v>
      </c>
      <c r="N147" s="169" t="s">
        <v>11</v>
      </c>
    </row>
    <row r="148" spans="1:14" x14ac:dyDescent="0.25">
      <c r="A148" s="66" t="s">
        <v>8</v>
      </c>
      <c r="B148" s="69" t="s">
        <v>2122</v>
      </c>
      <c r="C148" s="51"/>
      <c r="D148" s="65"/>
      <c r="E148" s="86"/>
      <c r="F148" s="12"/>
      <c r="G148" s="157"/>
      <c r="H148" s="12"/>
      <c r="I148" s="62"/>
      <c r="J148" s="27"/>
      <c r="K148" s="62"/>
      <c r="L148" s="12"/>
      <c r="M148" s="191"/>
      <c r="N148" s="65"/>
    </row>
    <row r="149" spans="1:14" x14ac:dyDescent="0.25">
      <c r="A149" s="63" t="s">
        <v>8</v>
      </c>
      <c r="B149" s="70" t="s">
        <v>50</v>
      </c>
      <c r="C149" s="2">
        <v>4058075079212</v>
      </c>
      <c r="D149" s="84"/>
      <c r="E149" s="85"/>
      <c r="F149" s="16"/>
      <c r="G149" s="156" t="str">
        <f>HYPERLINK("https://ledvance.com/pt/product-datasheet/8467/44891","Ficha Técnica")</f>
        <v>Ficha Técnica</v>
      </c>
      <c r="H149" s="15">
        <v>6</v>
      </c>
      <c r="I149" s="163">
        <v>420</v>
      </c>
      <c r="J149" s="15">
        <v>6</v>
      </c>
      <c r="K149" s="163" t="s">
        <v>46</v>
      </c>
      <c r="L149" s="15">
        <v>3</v>
      </c>
      <c r="M149" s="188">
        <v>11.4</v>
      </c>
      <c r="N149" s="169" t="s">
        <v>11</v>
      </c>
    </row>
    <row r="150" spans="1:14" x14ac:dyDescent="0.25">
      <c r="A150" s="63" t="s">
        <v>8</v>
      </c>
      <c r="B150" s="70" t="s">
        <v>51</v>
      </c>
      <c r="C150" s="2">
        <v>4058075079236</v>
      </c>
      <c r="D150" s="84"/>
      <c r="E150" s="85"/>
      <c r="F150" s="16"/>
      <c r="G150" s="156" t="str">
        <f>HYPERLINK("https://ledvance.com/pt/product-datasheet/8467/44894","Ficha Técnica")</f>
        <v>Ficha Técnica</v>
      </c>
      <c r="H150" s="15">
        <v>6</v>
      </c>
      <c r="I150" s="163">
        <v>430</v>
      </c>
      <c r="J150" s="15">
        <v>6</v>
      </c>
      <c r="K150" s="163" t="s">
        <v>46</v>
      </c>
      <c r="L150" s="15">
        <v>3</v>
      </c>
      <c r="M150" s="188">
        <v>11.4</v>
      </c>
      <c r="N150" s="169" t="s">
        <v>11</v>
      </c>
    </row>
    <row r="151" spans="1:14" x14ac:dyDescent="0.25">
      <c r="A151" s="63" t="s">
        <v>8</v>
      </c>
      <c r="B151" s="70" t="s">
        <v>52</v>
      </c>
      <c r="C151" s="2">
        <v>4058075079250</v>
      </c>
      <c r="D151" s="84"/>
      <c r="E151" s="85"/>
      <c r="F151" s="16"/>
      <c r="G151" s="156" t="str">
        <f>HYPERLINK("https://ledvance.com/pt/product-datasheet/8467/44897","Ficha Técnica")</f>
        <v>Ficha Técnica</v>
      </c>
      <c r="H151" s="15">
        <v>6</v>
      </c>
      <c r="I151" s="163">
        <v>430</v>
      </c>
      <c r="J151" s="15">
        <v>6</v>
      </c>
      <c r="K151" s="163" t="s">
        <v>46</v>
      </c>
      <c r="L151" s="15">
        <v>3</v>
      </c>
      <c r="M151" s="188">
        <v>11.4</v>
      </c>
      <c r="N151" s="169" t="s">
        <v>11</v>
      </c>
    </row>
    <row r="152" spans="1:14" x14ac:dyDescent="0.25">
      <c r="A152" s="63" t="s">
        <v>8</v>
      </c>
      <c r="B152" s="70" t="s">
        <v>53</v>
      </c>
      <c r="C152" s="2">
        <v>4058075079274</v>
      </c>
      <c r="D152" s="84"/>
      <c r="E152" s="85"/>
      <c r="F152" s="16"/>
      <c r="G152" s="156" t="str">
        <f>HYPERLINK("https://ledvance.com/pt/product-datasheet/8467/44900","Ficha Técnica")</f>
        <v>Ficha Técnica</v>
      </c>
      <c r="H152" s="15">
        <v>6</v>
      </c>
      <c r="I152" s="163">
        <v>1020</v>
      </c>
      <c r="J152" s="15">
        <v>12</v>
      </c>
      <c r="K152" s="163" t="s">
        <v>46</v>
      </c>
      <c r="L152" s="15">
        <v>3</v>
      </c>
      <c r="M152" s="188">
        <v>15.8</v>
      </c>
      <c r="N152" s="169" t="s">
        <v>11</v>
      </c>
    </row>
    <row r="153" spans="1:14" x14ac:dyDescent="0.25">
      <c r="A153" s="63" t="s">
        <v>8</v>
      </c>
      <c r="B153" s="70" t="s">
        <v>54</v>
      </c>
      <c r="C153" s="2">
        <v>4058075079298</v>
      </c>
      <c r="D153" s="84"/>
      <c r="E153" s="85"/>
      <c r="F153" s="16"/>
      <c r="G153" s="156" t="str">
        <f>HYPERLINK("https://ledvance.com/pt/product-datasheet/8467/44903","Ficha Técnica")</f>
        <v>Ficha Técnica</v>
      </c>
      <c r="H153" s="15">
        <v>6</v>
      </c>
      <c r="I153" s="163">
        <v>1020</v>
      </c>
      <c r="J153" s="15">
        <v>12</v>
      </c>
      <c r="K153" s="163" t="s">
        <v>46</v>
      </c>
      <c r="L153" s="15">
        <v>3</v>
      </c>
      <c r="M153" s="188">
        <v>15.8</v>
      </c>
      <c r="N153" s="169" t="s">
        <v>11</v>
      </c>
    </row>
    <row r="154" spans="1:14" x14ac:dyDescent="0.25">
      <c r="A154" s="63" t="s">
        <v>8</v>
      </c>
      <c r="B154" s="70" t="s">
        <v>55</v>
      </c>
      <c r="C154" s="2">
        <v>4058075079311</v>
      </c>
      <c r="D154" s="84"/>
      <c r="E154" s="85"/>
      <c r="F154" s="16"/>
      <c r="G154" s="156" t="str">
        <f>HYPERLINK("https://ledvance.com/pt/product-datasheet/8467/44906","Ficha Técnica")</f>
        <v>Ficha Técnica</v>
      </c>
      <c r="H154" s="15">
        <v>6</v>
      </c>
      <c r="I154" s="163">
        <v>1020</v>
      </c>
      <c r="J154" s="15">
        <v>12</v>
      </c>
      <c r="K154" s="163" t="s">
        <v>46</v>
      </c>
      <c r="L154" s="15">
        <v>3</v>
      </c>
      <c r="M154" s="188">
        <v>15.8</v>
      </c>
      <c r="N154" s="169" t="s">
        <v>11</v>
      </c>
    </row>
    <row r="155" spans="1:14" x14ac:dyDescent="0.25">
      <c r="A155" s="63" t="s">
        <v>8</v>
      </c>
      <c r="B155" s="70" t="s">
        <v>56</v>
      </c>
      <c r="C155" s="2">
        <v>4058075079335</v>
      </c>
      <c r="D155" s="84"/>
      <c r="E155" s="85"/>
      <c r="F155" s="16"/>
      <c r="G155" s="156" t="str">
        <f>HYPERLINK("https://ledvance.com/pt/product-datasheet/8467/44931","Ficha Técnica")</f>
        <v>Ficha Técnica</v>
      </c>
      <c r="H155" s="15">
        <v>6</v>
      </c>
      <c r="I155" s="163">
        <v>1530</v>
      </c>
      <c r="J155" s="15">
        <v>18</v>
      </c>
      <c r="K155" s="163" t="s">
        <v>46</v>
      </c>
      <c r="L155" s="15">
        <v>3</v>
      </c>
      <c r="M155" s="188">
        <v>22.2</v>
      </c>
      <c r="N155" s="169" t="s">
        <v>11</v>
      </c>
    </row>
    <row r="156" spans="1:14" x14ac:dyDescent="0.25">
      <c r="A156" s="63" t="s">
        <v>8</v>
      </c>
      <c r="B156" s="70" t="s">
        <v>57</v>
      </c>
      <c r="C156" s="2">
        <v>4058075079359</v>
      </c>
      <c r="D156" s="84"/>
      <c r="E156" s="85"/>
      <c r="F156" s="16"/>
      <c r="G156" s="156" t="str">
        <f>HYPERLINK("https://ledvance.com/pt/product-datasheet/8467/44934","Ficha Técnica")</f>
        <v>Ficha Técnica</v>
      </c>
      <c r="H156" s="15">
        <v>6</v>
      </c>
      <c r="I156" s="163">
        <v>1530</v>
      </c>
      <c r="J156" s="15">
        <v>18</v>
      </c>
      <c r="K156" s="163" t="s">
        <v>46</v>
      </c>
      <c r="L156" s="15">
        <v>3</v>
      </c>
      <c r="M156" s="188">
        <v>22.2</v>
      </c>
      <c r="N156" s="169" t="s">
        <v>11</v>
      </c>
    </row>
    <row r="157" spans="1:14" x14ac:dyDescent="0.25">
      <c r="A157" s="63" t="s">
        <v>8</v>
      </c>
      <c r="B157" s="70" t="s">
        <v>58</v>
      </c>
      <c r="C157" s="2">
        <v>4058075079373</v>
      </c>
      <c r="D157" s="84"/>
      <c r="E157" s="85"/>
      <c r="F157" s="16"/>
      <c r="G157" s="156" t="str">
        <f>HYPERLINK("https://ledvance.com/pt/product-datasheet/8467/44937","Ficha Técnica")</f>
        <v>Ficha Técnica</v>
      </c>
      <c r="H157" s="15">
        <v>6</v>
      </c>
      <c r="I157" s="163">
        <v>1530</v>
      </c>
      <c r="J157" s="15">
        <v>18</v>
      </c>
      <c r="K157" s="163" t="s">
        <v>46</v>
      </c>
      <c r="L157" s="15">
        <v>3</v>
      </c>
      <c r="M157" s="188">
        <v>22.2</v>
      </c>
      <c r="N157" s="169" t="s">
        <v>11</v>
      </c>
    </row>
    <row r="158" spans="1:14" x14ac:dyDescent="0.25">
      <c r="A158" s="63" t="s">
        <v>40</v>
      </c>
      <c r="B158" s="70" t="s">
        <v>59</v>
      </c>
      <c r="C158" s="2">
        <v>4058075079397</v>
      </c>
      <c r="D158" s="84"/>
      <c r="E158" s="85"/>
      <c r="F158" s="16"/>
      <c r="G158" s="156" t="str">
        <f>HYPERLINK("https://ledvance.com/pt/product-datasheet/8469/125903","Ficha Técnica")</f>
        <v>Ficha Técnica</v>
      </c>
      <c r="H158" s="15">
        <v>6</v>
      </c>
      <c r="I158" s="163"/>
      <c r="J158" s="15"/>
      <c r="K158" s="163"/>
      <c r="L158" s="15">
        <v>2</v>
      </c>
      <c r="M158" s="188">
        <v>2.6</v>
      </c>
      <c r="N158" s="169" t="s">
        <v>11</v>
      </c>
    </row>
    <row r="159" spans="1:14" x14ac:dyDescent="0.25">
      <c r="A159" s="63" t="s">
        <v>40</v>
      </c>
      <c r="B159" s="70" t="s">
        <v>60</v>
      </c>
      <c r="C159" s="2">
        <v>4058075079410</v>
      </c>
      <c r="D159" s="84"/>
      <c r="E159" s="85"/>
      <c r="F159" s="16"/>
      <c r="G159" s="156" t="str">
        <f>HYPERLINK("https://ledvance.com/pt/product-datasheet/8469/125910","Ficha Técnica")</f>
        <v>Ficha Técnica</v>
      </c>
      <c r="H159" s="15">
        <v>6</v>
      </c>
      <c r="I159" s="163"/>
      <c r="J159" s="15"/>
      <c r="K159" s="163"/>
      <c r="L159" s="15">
        <v>2</v>
      </c>
      <c r="M159" s="188">
        <v>3.8</v>
      </c>
      <c r="N159" s="169" t="s">
        <v>11</v>
      </c>
    </row>
    <row r="160" spans="1:14" x14ac:dyDescent="0.25">
      <c r="A160" s="63" t="s">
        <v>40</v>
      </c>
      <c r="B160" s="70" t="s">
        <v>61</v>
      </c>
      <c r="C160" s="2">
        <v>4058075079434</v>
      </c>
      <c r="D160" s="84"/>
      <c r="E160" s="85"/>
      <c r="F160" s="16"/>
      <c r="G160" s="156" t="str">
        <f>HYPERLINK("https://ledvance.com/pt/product-datasheet/8469/125917","Ficha Técnica")</f>
        <v>Ficha Técnica</v>
      </c>
      <c r="H160" s="15">
        <v>6</v>
      </c>
      <c r="I160" s="163"/>
      <c r="J160" s="15"/>
      <c r="K160" s="163"/>
      <c r="L160" s="15">
        <v>2</v>
      </c>
      <c r="M160" s="188">
        <v>6.1</v>
      </c>
      <c r="N160" s="169" t="s">
        <v>11</v>
      </c>
    </row>
    <row r="161" spans="1:14" x14ac:dyDescent="0.25">
      <c r="A161" s="66" t="s">
        <v>8</v>
      </c>
      <c r="B161" s="69" t="s">
        <v>2123</v>
      </c>
      <c r="C161" s="51"/>
      <c r="D161" s="65"/>
      <c r="E161" s="86"/>
      <c r="F161" s="12"/>
      <c r="G161" s="157"/>
      <c r="H161" s="12"/>
      <c r="I161" s="62"/>
      <c r="J161" s="27"/>
      <c r="K161" s="62"/>
      <c r="L161" s="12"/>
      <c r="M161" s="191"/>
      <c r="N161" s="65"/>
    </row>
    <row r="162" spans="1:14" x14ac:dyDescent="0.25">
      <c r="A162" s="63" t="s">
        <v>8</v>
      </c>
      <c r="B162" s="70" t="s">
        <v>62</v>
      </c>
      <c r="C162" s="2">
        <v>4058075078970</v>
      </c>
      <c r="D162" s="84"/>
      <c r="E162" s="85"/>
      <c r="F162" s="16"/>
      <c r="G162" s="156" t="str">
        <f>HYPERLINK("https://ledvance.com/pt/product-datasheet/8466/44866","Ficha Técnica")</f>
        <v>Ficha Técnica</v>
      </c>
      <c r="H162" s="15">
        <v>6</v>
      </c>
      <c r="I162" s="163">
        <v>420</v>
      </c>
      <c r="J162" s="15">
        <v>6</v>
      </c>
      <c r="K162" s="163" t="s">
        <v>46</v>
      </c>
      <c r="L162" s="15">
        <v>3</v>
      </c>
      <c r="M162" s="188">
        <v>11.4</v>
      </c>
      <c r="N162" s="169" t="s">
        <v>11</v>
      </c>
    </row>
    <row r="163" spans="1:14" x14ac:dyDescent="0.25">
      <c r="A163" s="63" t="s">
        <v>8</v>
      </c>
      <c r="B163" s="70" t="s">
        <v>63</v>
      </c>
      <c r="C163" s="2">
        <v>4058075078994</v>
      </c>
      <c r="D163" s="84"/>
      <c r="E163" s="85"/>
      <c r="F163" s="16"/>
      <c r="G163" s="156" t="str">
        <f>HYPERLINK("https://ledvance.com/pt/product-datasheet/8466/44869","Ficha Técnica")</f>
        <v>Ficha Técnica</v>
      </c>
      <c r="H163" s="15">
        <v>6</v>
      </c>
      <c r="I163" s="163">
        <v>430</v>
      </c>
      <c r="J163" s="15">
        <v>6</v>
      </c>
      <c r="K163" s="163" t="s">
        <v>46</v>
      </c>
      <c r="L163" s="15">
        <v>3</v>
      </c>
      <c r="M163" s="188">
        <v>11.4</v>
      </c>
      <c r="N163" s="169" t="s">
        <v>11</v>
      </c>
    </row>
    <row r="164" spans="1:14" x14ac:dyDescent="0.25">
      <c r="A164" s="63" t="s">
        <v>8</v>
      </c>
      <c r="B164" s="70" t="s">
        <v>64</v>
      </c>
      <c r="C164" s="2">
        <v>4058075079014</v>
      </c>
      <c r="D164" s="84"/>
      <c r="E164" s="85"/>
      <c r="F164" s="16"/>
      <c r="G164" s="156" t="str">
        <f>HYPERLINK("https://ledvance.com/pt/product-datasheet/8466/44872","Ficha Técnica")</f>
        <v>Ficha Técnica</v>
      </c>
      <c r="H164" s="15">
        <v>6</v>
      </c>
      <c r="I164" s="163">
        <v>430</v>
      </c>
      <c r="J164" s="15">
        <v>6</v>
      </c>
      <c r="K164" s="163" t="s">
        <v>46</v>
      </c>
      <c r="L164" s="15">
        <v>3</v>
      </c>
      <c r="M164" s="188">
        <v>11.4</v>
      </c>
      <c r="N164" s="169" t="s">
        <v>11</v>
      </c>
    </row>
    <row r="165" spans="1:14" x14ac:dyDescent="0.25">
      <c r="A165" s="63" t="s">
        <v>8</v>
      </c>
      <c r="B165" s="70" t="s">
        <v>65</v>
      </c>
      <c r="C165" s="2">
        <v>4058075079038</v>
      </c>
      <c r="D165" s="84"/>
      <c r="E165" s="85"/>
      <c r="F165" s="16"/>
      <c r="G165" s="156" t="str">
        <f>HYPERLINK("https://ledvance.com/pt/product-datasheet/8466/44875","Ficha Técnica")</f>
        <v>Ficha Técnica</v>
      </c>
      <c r="H165" s="15">
        <v>6</v>
      </c>
      <c r="I165" s="163">
        <v>1020</v>
      </c>
      <c r="J165" s="15">
        <v>12</v>
      </c>
      <c r="K165" s="163" t="s">
        <v>46</v>
      </c>
      <c r="L165" s="15">
        <v>3</v>
      </c>
      <c r="M165" s="188">
        <v>15.8</v>
      </c>
      <c r="N165" s="169" t="s">
        <v>11</v>
      </c>
    </row>
    <row r="166" spans="1:14" x14ac:dyDescent="0.25">
      <c r="A166" s="63" t="s">
        <v>8</v>
      </c>
      <c r="B166" s="70" t="s">
        <v>66</v>
      </c>
      <c r="C166" s="2">
        <v>4058075079052</v>
      </c>
      <c r="D166" s="84"/>
      <c r="E166" s="85"/>
      <c r="F166" s="16"/>
      <c r="G166" s="156" t="str">
        <f>HYPERLINK("https://ledvance.com/pt/product-datasheet/8466/44878","Ficha Técnica")</f>
        <v>Ficha Técnica</v>
      </c>
      <c r="H166" s="15">
        <v>6</v>
      </c>
      <c r="I166" s="163">
        <v>1020</v>
      </c>
      <c r="J166" s="15">
        <v>12</v>
      </c>
      <c r="K166" s="163" t="s">
        <v>46</v>
      </c>
      <c r="L166" s="15">
        <v>3</v>
      </c>
      <c r="M166" s="188">
        <v>15.8</v>
      </c>
      <c r="N166" s="169" t="s">
        <v>11</v>
      </c>
    </row>
    <row r="167" spans="1:14" x14ac:dyDescent="0.25">
      <c r="A167" s="63" t="s">
        <v>8</v>
      </c>
      <c r="B167" s="70" t="s">
        <v>67</v>
      </c>
      <c r="C167" s="2">
        <v>4058075079076</v>
      </c>
      <c r="D167" s="84"/>
      <c r="E167" s="85"/>
      <c r="F167" s="16"/>
      <c r="G167" s="156" t="str">
        <f>HYPERLINK("https://ledvance.com/pt/product-datasheet/8466/44881","Ficha Técnica")</f>
        <v>Ficha Técnica</v>
      </c>
      <c r="H167" s="15">
        <v>6</v>
      </c>
      <c r="I167" s="163">
        <v>1020</v>
      </c>
      <c r="J167" s="15">
        <v>12</v>
      </c>
      <c r="K167" s="163" t="s">
        <v>46</v>
      </c>
      <c r="L167" s="15">
        <v>3</v>
      </c>
      <c r="M167" s="188">
        <v>15.8</v>
      </c>
      <c r="N167" s="169" t="s">
        <v>11</v>
      </c>
    </row>
    <row r="168" spans="1:14" x14ac:dyDescent="0.25">
      <c r="A168" s="63" t="s">
        <v>8</v>
      </c>
      <c r="B168" s="70" t="s">
        <v>68</v>
      </c>
      <c r="C168" s="2">
        <v>4058075079090</v>
      </c>
      <c r="D168" s="84"/>
      <c r="E168" s="85"/>
      <c r="F168" s="16"/>
      <c r="G168" s="156" t="str">
        <f>HYPERLINK("https://ledvance.com/pt/product-datasheet/8466/34308","Ficha Técnica")</f>
        <v>Ficha Técnica</v>
      </c>
      <c r="H168" s="15">
        <v>6</v>
      </c>
      <c r="I168" s="163">
        <v>1530</v>
      </c>
      <c r="J168" s="15">
        <v>18</v>
      </c>
      <c r="K168" s="163" t="s">
        <v>46</v>
      </c>
      <c r="L168" s="15">
        <v>3</v>
      </c>
      <c r="M168" s="188">
        <v>22.2</v>
      </c>
      <c r="N168" s="169" t="s">
        <v>11</v>
      </c>
    </row>
    <row r="169" spans="1:14" x14ac:dyDescent="0.25">
      <c r="A169" s="63" t="s">
        <v>8</v>
      </c>
      <c r="B169" s="70" t="s">
        <v>69</v>
      </c>
      <c r="C169" s="2">
        <v>4058075079113</v>
      </c>
      <c r="D169" s="84"/>
      <c r="E169" s="85"/>
      <c r="F169" s="16"/>
      <c r="G169" s="156" t="str">
        <f>HYPERLINK("https://ledvance.com/pt/product-datasheet/8466/44885","Ficha Técnica")</f>
        <v>Ficha Técnica</v>
      </c>
      <c r="H169" s="15">
        <v>6</v>
      </c>
      <c r="I169" s="163">
        <v>1530</v>
      </c>
      <c r="J169" s="15">
        <v>18</v>
      </c>
      <c r="K169" s="163" t="s">
        <v>46</v>
      </c>
      <c r="L169" s="15">
        <v>3</v>
      </c>
      <c r="M169" s="188">
        <v>22.2</v>
      </c>
      <c r="N169" s="169" t="s">
        <v>11</v>
      </c>
    </row>
    <row r="170" spans="1:14" x14ac:dyDescent="0.25">
      <c r="A170" s="63" t="s">
        <v>8</v>
      </c>
      <c r="B170" s="70" t="s">
        <v>70</v>
      </c>
      <c r="C170" s="2">
        <v>4058075079137</v>
      </c>
      <c r="D170" s="84"/>
      <c r="E170" s="85"/>
      <c r="F170" s="16"/>
      <c r="G170" s="156" t="str">
        <f>HYPERLINK("https://ledvance.com/pt/product-datasheet/8466/44888","Ficha Técnica")</f>
        <v>Ficha Técnica</v>
      </c>
      <c r="H170" s="15">
        <v>6</v>
      </c>
      <c r="I170" s="163">
        <v>1530</v>
      </c>
      <c r="J170" s="15">
        <v>18</v>
      </c>
      <c r="K170" s="163" t="s">
        <v>46</v>
      </c>
      <c r="L170" s="15">
        <v>3</v>
      </c>
      <c r="M170" s="188">
        <v>22.2</v>
      </c>
      <c r="N170" s="169" t="s">
        <v>11</v>
      </c>
    </row>
    <row r="171" spans="1:14" x14ac:dyDescent="0.25">
      <c r="A171" s="63" t="s">
        <v>40</v>
      </c>
      <c r="B171" s="71" t="s">
        <v>71</v>
      </c>
      <c r="C171" s="2">
        <v>4058075079151</v>
      </c>
      <c r="D171" s="84"/>
      <c r="E171" s="85"/>
      <c r="F171" s="16"/>
      <c r="G171" s="156" t="str">
        <f>HYPERLINK("https://ledvance.com/pt/product-datasheet/8468/125895","Ficha Técnica")</f>
        <v>Ficha Técnica</v>
      </c>
      <c r="H171" s="15">
        <v>6</v>
      </c>
      <c r="I171" s="163"/>
      <c r="J171" s="15"/>
      <c r="K171" s="163"/>
      <c r="L171" s="15">
        <v>2</v>
      </c>
      <c r="M171" s="188">
        <v>2.6</v>
      </c>
      <c r="N171" s="169" t="s">
        <v>11</v>
      </c>
    </row>
    <row r="172" spans="1:14" x14ac:dyDescent="0.25">
      <c r="A172" s="63" t="s">
        <v>40</v>
      </c>
      <c r="B172" s="71" t="s">
        <v>72</v>
      </c>
      <c r="C172" s="2">
        <v>4058075079175</v>
      </c>
      <c r="D172" s="84"/>
      <c r="E172" s="85"/>
      <c r="F172" s="16"/>
      <c r="G172" s="156" t="str">
        <f>HYPERLINK("https://ledvance.com/pt/product-datasheet/8468/54377","Ficha Técnica")</f>
        <v>Ficha Técnica</v>
      </c>
      <c r="H172" s="15">
        <v>6</v>
      </c>
      <c r="I172" s="163"/>
      <c r="J172" s="15"/>
      <c r="K172" s="163"/>
      <c r="L172" s="15">
        <v>2</v>
      </c>
      <c r="M172" s="188">
        <v>3.8</v>
      </c>
      <c r="N172" s="169" t="s">
        <v>11</v>
      </c>
    </row>
    <row r="173" spans="1:14" x14ac:dyDescent="0.25">
      <c r="A173" s="63" t="s">
        <v>40</v>
      </c>
      <c r="B173" s="71" t="s">
        <v>73</v>
      </c>
      <c r="C173" s="2">
        <v>4058075079199</v>
      </c>
      <c r="D173" s="84"/>
      <c r="E173" s="85"/>
      <c r="F173" s="16"/>
      <c r="G173" s="156" t="str">
        <f>HYPERLINK("https://ledvance.com/pt/product-datasheet/8468/125899","Ficha Técnica")</f>
        <v>Ficha Técnica</v>
      </c>
      <c r="H173" s="15">
        <v>6</v>
      </c>
      <c r="I173" s="163"/>
      <c r="J173" s="15"/>
      <c r="K173" s="163"/>
      <c r="L173" s="15">
        <v>2</v>
      </c>
      <c r="M173" s="188">
        <v>6.1</v>
      </c>
      <c r="N173" s="169" t="s">
        <v>11</v>
      </c>
    </row>
    <row r="174" spans="1:14" x14ac:dyDescent="0.25">
      <c r="A174" s="66" t="s">
        <v>8</v>
      </c>
      <c r="B174" s="69" t="s">
        <v>2124</v>
      </c>
      <c r="C174" s="51"/>
      <c r="D174" s="65"/>
      <c r="E174" s="86"/>
      <c r="F174" s="12"/>
      <c r="G174" s="157"/>
      <c r="H174" s="12"/>
      <c r="I174" s="62"/>
      <c r="J174" s="27"/>
      <c r="K174" s="62"/>
      <c r="L174" s="12"/>
      <c r="M174" s="191"/>
      <c r="N174" s="65"/>
    </row>
    <row r="175" spans="1:14" x14ac:dyDescent="0.25">
      <c r="A175" s="63" t="s">
        <v>8</v>
      </c>
      <c r="B175" s="72" t="s">
        <v>2310</v>
      </c>
      <c r="C175" s="59">
        <v>4058075845077</v>
      </c>
      <c r="D175" s="88">
        <v>4099854092701</v>
      </c>
      <c r="E175" s="89" t="s">
        <v>2311</v>
      </c>
      <c r="G175" s="156" t="str">
        <f>HYPERLINK("https://ledvance.com/pt/product-datasheet/324206/310821","Ficha Técnica")</f>
        <v>Ficha Técnica</v>
      </c>
      <c r="H175" s="15">
        <v>20</v>
      </c>
      <c r="I175" s="163" t="s">
        <v>1673</v>
      </c>
      <c r="J175" s="15" t="s">
        <v>4006</v>
      </c>
      <c r="K175" s="163" t="s">
        <v>74</v>
      </c>
      <c r="L175" s="15">
        <v>5</v>
      </c>
      <c r="M175" s="188">
        <v>18.7</v>
      </c>
      <c r="N175" s="169" t="s">
        <v>11</v>
      </c>
    </row>
    <row r="176" spans="1:14" x14ac:dyDescent="0.25">
      <c r="A176" s="63" t="s">
        <v>8</v>
      </c>
      <c r="B176" s="72" t="s">
        <v>2312</v>
      </c>
      <c r="C176" s="59">
        <v>4058075845091</v>
      </c>
      <c r="D176" s="88">
        <v>4099854092725</v>
      </c>
      <c r="E176" s="89" t="s">
        <v>2313</v>
      </c>
      <c r="G176" s="156" t="str">
        <f>HYPERLINK("https://ledvance.com/pt/product-datasheet/324207/310823","Ficha Técnica")</f>
        <v>Ficha Técnica</v>
      </c>
      <c r="H176" s="15">
        <v>20</v>
      </c>
      <c r="I176" s="163" t="s">
        <v>1673</v>
      </c>
      <c r="J176" s="15" t="s">
        <v>4006</v>
      </c>
      <c r="K176" s="163" t="s">
        <v>74</v>
      </c>
      <c r="L176" s="15">
        <v>5</v>
      </c>
      <c r="M176" s="188">
        <v>20.8</v>
      </c>
      <c r="N176" s="169" t="s">
        <v>11</v>
      </c>
    </row>
    <row r="177" spans="1:14" x14ac:dyDescent="0.25">
      <c r="A177" s="63" t="s">
        <v>8</v>
      </c>
      <c r="B177" s="72" t="s">
        <v>75</v>
      </c>
      <c r="C177" s="59">
        <v>4099854097911</v>
      </c>
      <c r="D177" s="90"/>
      <c r="E177" s="91"/>
      <c r="F177" s="18"/>
      <c r="G177" s="156" t="str">
        <f>HYPERLINK("https://ledvance.com/pt/product-datasheet/270480/249270","Ficha Técnica")</f>
        <v>Ficha Técnica</v>
      </c>
      <c r="H177" s="15">
        <v>20</v>
      </c>
      <c r="I177" s="163"/>
      <c r="J177" s="15"/>
      <c r="K177" s="163"/>
      <c r="L177" s="15">
        <v>5</v>
      </c>
      <c r="M177" s="188">
        <v>7.3</v>
      </c>
      <c r="N177" s="169" t="s">
        <v>11</v>
      </c>
    </row>
    <row r="178" spans="1:14" x14ac:dyDescent="0.25">
      <c r="A178" s="63" t="s">
        <v>8</v>
      </c>
      <c r="B178" s="72" t="s">
        <v>76</v>
      </c>
      <c r="C178" s="59">
        <v>4099854097935</v>
      </c>
      <c r="D178" s="90"/>
      <c r="E178" s="91"/>
      <c r="F178" s="18"/>
      <c r="G178" s="156" t="str">
        <f>HYPERLINK("https://ledvance.com/pt/product-datasheet/270480/249273","Ficha Técnica")</f>
        <v>Ficha Técnica</v>
      </c>
      <c r="H178" s="15">
        <v>20</v>
      </c>
      <c r="I178" s="163"/>
      <c r="J178" s="15"/>
      <c r="K178" s="163"/>
      <c r="L178" s="15">
        <v>5</v>
      </c>
      <c r="M178" s="188">
        <v>7.3</v>
      </c>
      <c r="N178" s="169" t="s">
        <v>11</v>
      </c>
    </row>
    <row r="179" spans="1:14" x14ac:dyDescent="0.25">
      <c r="A179" s="63" t="s">
        <v>8</v>
      </c>
      <c r="B179" s="72" t="s">
        <v>77</v>
      </c>
      <c r="C179" s="59">
        <v>4099854097997</v>
      </c>
      <c r="D179" s="90"/>
      <c r="E179" s="91"/>
      <c r="F179" s="18"/>
      <c r="G179" s="156" t="str">
        <f>HYPERLINK("https://ledvance.com/pt/product-datasheet/270480/249282","Ficha Técnica")</f>
        <v>Ficha Técnica</v>
      </c>
      <c r="H179" s="15">
        <v>20</v>
      </c>
      <c r="I179" s="163"/>
      <c r="J179" s="15"/>
      <c r="K179" s="163"/>
      <c r="L179" s="15">
        <v>5</v>
      </c>
      <c r="M179" s="188">
        <v>7.3</v>
      </c>
      <c r="N179" s="169" t="s">
        <v>11</v>
      </c>
    </row>
    <row r="180" spans="1:14" x14ac:dyDescent="0.25">
      <c r="A180" s="63" t="s">
        <v>8</v>
      </c>
      <c r="B180" s="72" t="s">
        <v>78</v>
      </c>
      <c r="C180" s="59">
        <v>4099854097959</v>
      </c>
      <c r="D180" s="90"/>
      <c r="E180" s="91"/>
      <c r="F180" s="18"/>
      <c r="G180" s="156" t="str">
        <f>HYPERLINK("https://ledvance.com/pt/product-datasheet/270480/249276","Ficha Técnica")</f>
        <v>Ficha Técnica</v>
      </c>
      <c r="H180" s="15">
        <v>20</v>
      </c>
      <c r="I180" s="163"/>
      <c r="J180" s="15"/>
      <c r="K180" s="163"/>
      <c r="L180" s="15">
        <v>5</v>
      </c>
      <c r="M180" s="188">
        <v>7.3</v>
      </c>
      <c r="N180" s="169" t="s">
        <v>11</v>
      </c>
    </row>
    <row r="181" spans="1:14" x14ac:dyDescent="0.25">
      <c r="A181" s="63" t="s">
        <v>8</v>
      </c>
      <c r="B181" s="72" t="s">
        <v>79</v>
      </c>
      <c r="C181" s="59">
        <v>4099854097973</v>
      </c>
      <c r="D181" s="90"/>
      <c r="E181" s="91"/>
      <c r="F181" s="18"/>
      <c r="G181" s="156" t="str">
        <f>HYPERLINK("https://ledvance.com/pt/product-datasheet/270480/249279","Ficha Técnica")</f>
        <v>Ficha Técnica</v>
      </c>
      <c r="H181" s="15">
        <v>20</v>
      </c>
      <c r="I181" s="163"/>
      <c r="J181" s="15"/>
      <c r="K181" s="163"/>
      <c r="L181" s="15">
        <v>5</v>
      </c>
      <c r="M181" s="188">
        <v>7.3</v>
      </c>
      <c r="N181" s="169" t="s">
        <v>11</v>
      </c>
    </row>
    <row r="182" spans="1:14" x14ac:dyDescent="0.25">
      <c r="A182" s="63" t="s">
        <v>8</v>
      </c>
      <c r="B182" s="72" t="s">
        <v>80</v>
      </c>
      <c r="C182" s="59">
        <v>4099854098406</v>
      </c>
      <c r="D182" s="90"/>
      <c r="E182" s="91"/>
      <c r="F182" s="18"/>
      <c r="G182" s="156" t="str">
        <f>HYPERLINK("https://ledvance.com/pt/product-datasheet/270479/249285","Ficha Técnica")</f>
        <v>Ficha Técnica</v>
      </c>
      <c r="H182" s="15">
        <v>20</v>
      </c>
      <c r="I182" s="163"/>
      <c r="J182" s="15"/>
      <c r="K182" s="163"/>
      <c r="L182" s="15">
        <v>5</v>
      </c>
      <c r="M182" s="188">
        <v>6.3</v>
      </c>
      <c r="N182" s="169" t="s">
        <v>11</v>
      </c>
    </row>
    <row r="183" spans="1:14" x14ac:dyDescent="0.25">
      <c r="A183" s="63" t="s">
        <v>8</v>
      </c>
      <c r="B183" s="72" t="s">
        <v>81</v>
      </c>
      <c r="C183" s="59">
        <v>4099854098437</v>
      </c>
      <c r="D183" s="90"/>
      <c r="E183" s="91"/>
      <c r="F183" s="18"/>
      <c r="G183" s="156" t="str">
        <f>HYPERLINK("https://ledvance.com/pt/product-datasheet/270479/249289","Ficha Técnica")</f>
        <v>Ficha Técnica</v>
      </c>
      <c r="H183" s="15">
        <v>20</v>
      </c>
      <c r="I183" s="163"/>
      <c r="J183" s="15"/>
      <c r="K183" s="163"/>
      <c r="L183" s="15">
        <v>5</v>
      </c>
      <c r="M183" s="188">
        <v>6.3</v>
      </c>
      <c r="N183" s="169" t="s">
        <v>11</v>
      </c>
    </row>
    <row r="184" spans="1:14" x14ac:dyDescent="0.25">
      <c r="A184" s="63" t="s">
        <v>8</v>
      </c>
      <c r="B184" s="72" t="s">
        <v>82</v>
      </c>
      <c r="C184" s="59">
        <v>4099854099335</v>
      </c>
      <c r="D184" s="90"/>
      <c r="E184" s="91"/>
      <c r="F184" s="18"/>
      <c r="G184" s="156" t="str">
        <f>HYPERLINK("https://ledvance.com/pt/product-datasheet/270479/249301","Ficha Técnica")</f>
        <v>Ficha Técnica</v>
      </c>
      <c r="H184" s="15">
        <v>20</v>
      </c>
      <c r="I184" s="163"/>
      <c r="J184" s="15"/>
      <c r="K184" s="163"/>
      <c r="L184" s="15">
        <v>5</v>
      </c>
      <c r="M184" s="188">
        <v>6.3</v>
      </c>
      <c r="N184" s="169" t="s">
        <v>11</v>
      </c>
    </row>
    <row r="185" spans="1:14" x14ac:dyDescent="0.25">
      <c r="A185" s="63" t="s">
        <v>8</v>
      </c>
      <c r="B185" s="72" t="s">
        <v>83</v>
      </c>
      <c r="C185" s="59">
        <v>4099854099274</v>
      </c>
      <c r="D185" s="90"/>
      <c r="E185" s="91"/>
      <c r="F185" s="18"/>
      <c r="G185" s="156" t="str">
        <f>HYPERLINK("https://ledvance.com/pt/product-datasheet/270479/249293","Ficha Técnica")</f>
        <v>Ficha Técnica</v>
      </c>
      <c r="H185" s="15">
        <v>20</v>
      </c>
      <c r="I185" s="163"/>
      <c r="J185" s="15"/>
      <c r="K185" s="163"/>
      <c r="L185" s="15">
        <v>5</v>
      </c>
      <c r="M185" s="188">
        <v>6.3</v>
      </c>
      <c r="N185" s="169" t="s">
        <v>11</v>
      </c>
    </row>
    <row r="186" spans="1:14" x14ac:dyDescent="0.25">
      <c r="A186" s="63" t="s">
        <v>8</v>
      </c>
      <c r="B186" s="72" t="s">
        <v>84</v>
      </c>
      <c r="C186" s="59">
        <v>4099854099304</v>
      </c>
      <c r="D186" s="90"/>
      <c r="E186" s="91"/>
      <c r="F186" s="18"/>
      <c r="G186" s="156" t="str">
        <f>HYPERLINK("https://ledvance.com/pt/product-datasheet/270479/249297","Ficha Técnica")</f>
        <v>Ficha Técnica</v>
      </c>
      <c r="H186" s="15">
        <v>20</v>
      </c>
      <c r="I186" s="163"/>
      <c r="J186" s="15"/>
      <c r="K186" s="163"/>
      <c r="L186" s="15">
        <v>5</v>
      </c>
      <c r="M186" s="188">
        <v>6.3</v>
      </c>
      <c r="N186" s="169" t="s">
        <v>11</v>
      </c>
    </row>
    <row r="187" spans="1:14" x14ac:dyDescent="0.25">
      <c r="A187" s="66" t="s">
        <v>8</v>
      </c>
      <c r="B187" s="69" t="s">
        <v>85</v>
      </c>
      <c r="C187" s="51"/>
      <c r="D187" s="65"/>
      <c r="E187" s="86"/>
      <c r="F187" s="12"/>
      <c r="G187" s="157"/>
      <c r="H187" s="12"/>
      <c r="I187" s="62"/>
      <c r="J187" s="27"/>
      <c r="K187" s="62"/>
      <c r="L187" s="12"/>
      <c r="M187" s="191"/>
      <c r="N187" s="65"/>
    </row>
    <row r="188" spans="1:14" x14ac:dyDescent="0.25">
      <c r="A188" s="63" t="s">
        <v>8</v>
      </c>
      <c r="B188" s="71" t="s">
        <v>86</v>
      </c>
      <c r="C188" s="2">
        <v>4058075104020</v>
      </c>
      <c r="D188" s="84"/>
      <c r="E188" s="85"/>
      <c r="F188" s="16"/>
      <c r="G188" s="156" t="str">
        <f>HYPERLINK("https://ledvance.com/pt/product-datasheet/8505/120980","Ficha Técnica")</f>
        <v>Ficha Técnica</v>
      </c>
      <c r="H188" s="15">
        <v>4</v>
      </c>
      <c r="I188" s="163">
        <v>3350</v>
      </c>
      <c r="J188" s="15">
        <v>35</v>
      </c>
      <c r="K188" s="163" t="s">
        <v>46</v>
      </c>
      <c r="L188" s="15">
        <v>5</v>
      </c>
      <c r="M188" s="188">
        <v>148.4</v>
      </c>
      <c r="N188" s="169" t="s">
        <v>11</v>
      </c>
    </row>
    <row r="189" spans="1:14" x14ac:dyDescent="0.25">
      <c r="A189" s="63" t="s">
        <v>8</v>
      </c>
      <c r="B189" s="71" t="s">
        <v>87</v>
      </c>
      <c r="C189" s="2">
        <v>4058075104044</v>
      </c>
      <c r="D189" s="84"/>
      <c r="E189" s="85"/>
      <c r="F189" s="16"/>
      <c r="G189" s="156" t="str">
        <f>HYPERLINK("https://ledvance.com/pt/product-datasheet/8505/120983","Ficha Técnica")</f>
        <v>Ficha Técnica</v>
      </c>
      <c r="H189" s="15">
        <v>4</v>
      </c>
      <c r="I189" s="163">
        <v>3550</v>
      </c>
      <c r="J189" s="15">
        <v>35</v>
      </c>
      <c r="K189" s="163" t="s">
        <v>46</v>
      </c>
      <c r="L189" s="15">
        <v>5</v>
      </c>
      <c r="M189" s="188">
        <v>148.4</v>
      </c>
      <c r="N189" s="169" t="s">
        <v>11</v>
      </c>
    </row>
    <row r="190" spans="1:14" x14ac:dyDescent="0.25">
      <c r="A190" s="66" t="s">
        <v>8</v>
      </c>
      <c r="B190" s="69" t="s">
        <v>88</v>
      </c>
      <c r="C190" s="51"/>
      <c r="D190" s="65"/>
      <c r="E190" s="86"/>
      <c r="F190" s="12"/>
      <c r="G190" s="157"/>
      <c r="H190" s="12"/>
      <c r="I190" s="62"/>
      <c r="J190" s="27"/>
      <c r="K190" s="62"/>
      <c r="L190" s="12"/>
      <c r="M190" s="191"/>
      <c r="N190" s="65"/>
    </row>
    <row r="191" spans="1:14" x14ac:dyDescent="0.25">
      <c r="A191" s="63" t="s">
        <v>8</v>
      </c>
      <c r="B191" s="71" t="s">
        <v>89</v>
      </c>
      <c r="C191" s="2">
        <v>4058075113923</v>
      </c>
      <c r="D191" s="84"/>
      <c r="E191" s="85"/>
      <c r="F191" s="16"/>
      <c r="G191" s="156" t="str">
        <f>HYPERLINK("https://ledvance.com/pt/product-datasheet/8507/117509","Ficha Técnica")</f>
        <v>Ficha Técnica</v>
      </c>
      <c r="H191" s="15">
        <v>4</v>
      </c>
      <c r="I191" s="163">
        <v>2700</v>
      </c>
      <c r="J191" s="15">
        <v>30</v>
      </c>
      <c r="K191" s="163" t="s">
        <v>46</v>
      </c>
      <c r="L191" s="15">
        <v>5</v>
      </c>
      <c r="M191" s="188">
        <v>184.2</v>
      </c>
      <c r="N191" s="169" t="s">
        <v>11</v>
      </c>
    </row>
    <row r="192" spans="1:14" x14ac:dyDescent="0.25">
      <c r="A192" s="63" t="s">
        <v>8</v>
      </c>
      <c r="B192" s="71" t="s">
        <v>90</v>
      </c>
      <c r="C192" s="2">
        <v>4058075113947</v>
      </c>
      <c r="D192" s="84"/>
      <c r="E192" s="85"/>
      <c r="F192" s="16"/>
      <c r="G192" s="156" t="str">
        <f>HYPERLINK("https://ledvance.com/pt/product-datasheet/8507/117513","Ficha Técnica")</f>
        <v>Ficha Técnica</v>
      </c>
      <c r="H192" s="15">
        <v>4</v>
      </c>
      <c r="I192" s="163">
        <v>2700</v>
      </c>
      <c r="J192" s="15">
        <v>30</v>
      </c>
      <c r="K192" s="163" t="s">
        <v>46</v>
      </c>
      <c r="L192" s="15">
        <v>5</v>
      </c>
      <c r="M192" s="188">
        <v>184.2</v>
      </c>
      <c r="N192" s="169" t="s">
        <v>11</v>
      </c>
    </row>
    <row r="193" spans="1:14" x14ac:dyDescent="0.25">
      <c r="A193" s="63" t="s">
        <v>8</v>
      </c>
      <c r="B193" s="71" t="s">
        <v>91</v>
      </c>
      <c r="C193" s="2">
        <v>4058075113961</v>
      </c>
      <c r="D193" s="84"/>
      <c r="E193" s="85"/>
      <c r="F193" s="16"/>
      <c r="G193" s="156" t="str">
        <f>HYPERLINK("https://ledvance.com/pt/product-datasheet/8508/117517","Ficha Técnica")</f>
        <v>Ficha Técnica</v>
      </c>
      <c r="H193" s="15">
        <v>4</v>
      </c>
      <c r="I193" s="163" t="s">
        <v>1674</v>
      </c>
      <c r="J193" s="15" t="s">
        <v>1675</v>
      </c>
      <c r="K193" s="163" t="s">
        <v>46</v>
      </c>
      <c r="L193" s="15">
        <v>5</v>
      </c>
      <c r="M193" s="188">
        <v>287.10000000000002</v>
      </c>
      <c r="N193" s="169" t="s">
        <v>11</v>
      </c>
    </row>
    <row r="194" spans="1:14" x14ac:dyDescent="0.25">
      <c r="A194" s="63" t="s">
        <v>8</v>
      </c>
      <c r="B194" s="71" t="s">
        <v>92</v>
      </c>
      <c r="C194" s="2">
        <v>4058075113985</v>
      </c>
      <c r="D194" s="84"/>
      <c r="E194" s="85"/>
      <c r="F194" s="16"/>
      <c r="G194" s="156" t="str">
        <f>HYPERLINK("https://ledvance.com/pt/product-datasheet/8508/117521","Ficha Técnica")</f>
        <v>Ficha Técnica</v>
      </c>
      <c r="H194" s="15">
        <v>4</v>
      </c>
      <c r="I194" s="163" t="s">
        <v>1674</v>
      </c>
      <c r="J194" s="15" t="s">
        <v>1675</v>
      </c>
      <c r="K194" s="163" t="s">
        <v>46</v>
      </c>
      <c r="L194" s="15">
        <v>5</v>
      </c>
      <c r="M194" s="188">
        <v>287.10000000000002</v>
      </c>
      <c r="N194" s="169" t="s">
        <v>11</v>
      </c>
    </row>
    <row r="195" spans="1:14" x14ac:dyDescent="0.25">
      <c r="A195" s="66" t="s">
        <v>8</v>
      </c>
      <c r="B195" s="69" t="s">
        <v>2055</v>
      </c>
      <c r="C195" s="51"/>
      <c r="D195" s="65"/>
      <c r="E195" s="86"/>
      <c r="F195" s="12"/>
      <c r="G195" s="157"/>
      <c r="H195" s="12"/>
      <c r="I195" s="62"/>
      <c r="J195" s="27"/>
      <c r="K195" s="62"/>
      <c r="L195" s="12"/>
      <c r="M195" s="191"/>
      <c r="N195" s="65"/>
    </row>
    <row r="196" spans="1:14" x14ac:dyDescent="0.25">
      <c r="A196" s="63" t="s">
        <v>8</v>
      </c>
      <c r="B196" s="71" t="s">
        <v>2061</v>
      </c>
      <c r="C196" s="2">
        <v>4058075114067</v>
      </c>
      <c r="D196" s="84"/>
      <c r="E196" s="61"/>
      <c r="F196" s="16"/>
      <c r="G196" s="156" t="str">
        <f>HYPERLINK("https://ledvance.com/pt/product-datasheet/8511/117537","Ficha Técnica")</f>
        <v>Ficha Técnica</v>
      </c>
      <c r="H196" s="15" t="s">
        <v>2100</v>
      </c>
      <c r="I196" s="163">
        <v>650</v>
      </c>
      <c r="J196" s="15" t="s">
        <v>3968</v>
      </c>
      <c r="K196" s="163" t="s">
        <v>46</v>
      </c>
      <c r="L196" s="15">
        <v>5</v>
      </c>
      <c r="M196" s="188">
        <v>33.700000000000003</v>
      </c>
      <c r="N196" s="169" t="s">
        <v>11</v>
      </c>
    </row>
    <row r="197" spans="1:14" x14ac:dyDescent="0.25">
      <c r="A197" s="63" t="s">
        <v>8</v>
      </c>
      <c r="B197" s="71" t="s">
        <v>2062</v>
      </c>
      <c r="C197" s="2">
        <v>4058075114043</v>
      </c>
      <c r="D197" s="84"/>
      <c r="E197" s="61"/>
      <c r="F197" s="16"/>
      <c r="G197" s="156" t="str">
        <f>HYPERLINK("https://ledvance.com/pt/product-datasheet/8511/117533","Ficha Técnica")</f>
        <v>Ficha Técnica</v>
      </c>
      <c r="H197" s="15" t="s">
        <v>2100</v>
      </c>
      <c r="I197" s="163">
        <v>650</v>
      </c>
      <c r="J197" s="15" t="s">
        <v>3968</v>
      </c>
      <c r="K197" s="163" t="s">
        <v>46</v>
      </c>
      <c r="L197" s="15">
        <v>5</v>
      </c>
      <c r="M197" s="188">
        <v>33.700000000000003</v>
      </c>
      <c r="N197" s="169" t="s">
        <v>11</v>
      </c>
    </row>
    <row r="198" spans="1:14" x14ac:dyDescent="0.25">
      <c r="A198" s="66" t="s">
        <v>8</v>
      </c>
      <c r="B198" s="69" t="s">
        <v>2087</v>
      </c>
      <c r="C198" s="51"/>
      <c r="D198" s="65"/>
      <c r="E198" s="86"/>
      <c r="F198" s="12"/>
      <c r="G198" s="157"/>
      <c r="H198" s="12"/>
      <c r="I198" s="62"/>
      <c r="J198" s="27"/>
      <c r="K198" s="62"/>
      <c r="L198" s="12"/>
      <c r="M198" s="191"/>
      <c r="N198" s="65"/>
    </row>
    <row r="199" spans="1:14" x14ac:dyDescent="0.25">
      <c r="A199" s="63" t="s">
        <v>8</v>
      </c>
      <c r="B199" s="71" t="s">
        <v>2314</v>
      </c>
      <c r="C199" s="2">
        <v>4058075799622</v>
      </c>
      <c r="D199" s="84"/>
      <c r="E199" s="85"/>
      <c r="F199" s="16"/>
      <c r="G199" s="205" t="str">
        <f>HYPERLINK("https://ledvance.com/pt/product-datasheet/225868/218387","Ficha Técnica")</f>
        <v>Ficha Técnica</v>
      </c>
      <c r="H199" s="15">
        <v>20</v>
      </c>
      <c r="I199" s="163" t="s">
        <v>1676</v>
      </c>
      <c r="J199" s="15" t="s">
        <v>4007</v>
      </c>
      <c r="K199" s="163" t="s">
        <v>46</v>
      </c>
      <c r="L199" s="15">
        <v>5</v>
      </c>
      <c r="M199" s="188">
        <v>42.7</v>
      </c>
      <c r="N199" s="169" t="s">
        <v>11</v>
      </c>
    </row>
    <row r="200" spans="1:14" x14ac:dyDescent="0.25">
      <c r="A200" s="63" t="s">
        <v>8</v>
      </c>
      <c r="B200" s="71" t="s">
        <v>2315</v>
      </c>
      <c r="C200" s="2">
        <v>4058075799646</v>
      </c>
      <c r="D200" s="84"/>
      <c r="E200" s="85"/>
      <c r="F200" s="16"/>
      <c r="G200" s="156" t="str">
        <f>HYPERLINK("https://ledvance.com/pt/product-datasheet/225868/218390","Ficha Técnica")</f>
        <v>Ficha Técnica</v>
      </c>
      <c r="H200" s="15">
        <v>20</v>
      </c>
      <c r="I200" s="163" t="s">
        <v>1677</v>
      </c>
      <c r="J200" s="15" t="s">
        <v>4007</v>
      </c>
      <c r="K200" s="163" t="s">
        <v>46</v>
      </c>
      <c r="L200" s="15">
        <v>5</v>
      </c>
      <c r="M200" s="188">
        <v>42.7</v>
      </c>
      <c r="N200" s="169" t="s">
        <v>11</v>
      </c>
    </row>
    <row r="201" spans="1:14" x14ac:dyDescent="0.25">
      <c r="A201" s="63" t="s">
        <v>8</v>
      </c>
      <c r="B201" s="71" t="s">
        <v>2316</v>
      </c>
      <c r="C201" s="2">
        <v>4058075799660</v>
      </c>
      <c r="D201" s="84"/>
      <c r="E201" s="85"/>
      <c r="F201" s="16"/>
      <c r="G201" s="156" t="str">
        <f>HYPERLINK("https://ledvance.com/pt/product-datasheet/225868/218393","Ficha Técnica")</f>
        <v>Ficha Técnica</v>
      </c>
      <c r="H201" s="15">
        <v>20</v>
      </c>
      <c r="I201" s="163" t="s">
        <v>1678</v>
      </c>
      <c r="J201" s="15" t="s">
        <v>4007</v>
      </c>
      <c r="K201" s="163" t="s">
        <v>46</v>
      </c>
      <c r="L201" s="15">
        <v>5</v>
      </c>
      <c r="M201" s="188">
        <v>42.7</v>
      </c>
      <c r="N201" s="169" t="s">
        <v>11</v>
      </c>
    </row>
    <row r="202" spans="1:14" x14ac:dyDescent="0.25">
      <c r="A202" s="63" t="s">
        <v>8</v>
      </c>
      <c r="B202" s="71" t="s">
        <v>2317</v>
      </c>
      <c r="C202" s="2">
        <v>4099854000140</v>
      </c>
      <c r="D202" s="84"/>
      <c r="E202" s="85"/>
      <c r="F202" s="16"/>
      <c r="G202" s="156" t="str">
        <f>HYPERLINK("https://ledvance.com/pt/product-datasheet/225868/218672","Ficha Técnica")</f>
        <v>Ficha Técnica</v>
      </c>
      <c r="H202" s="15">
        <v>20</v>
      </c>
      <c r="I202" s="163" t="s">
        <v>1676</v>
      </c>
      <c r="J202" s="15" t="s">
        <v>4007</v>
      </c>
      <c r="K202" s="163" t="s">
        <v>46</v>
      </c>
      <c r="L202" s="15">
        <v>5</v>
      </c>
      <c r="M202" s="188">
        <v>42.7</v>
      </c>
      <c r="N202" s="169" t="s">
        <v>11</v>
      </c>
    </row>
    <row r="203" spans="1:14" x14ac:dyDescent="0.25">
      <c r="A203" s="63" t="s">
        <v>8</v>
      </c>
      <c r="B203" s="71" t="s">
        <v>2318</v>
      </c>
      <c r="C203" s="2">
        <v>4058075799684</v>
      </c>
      <c r="D203" s="84"/>
      <c r="E203" s="85"/>
      <c r="F203" s="16"/>
      <c r="G203" s="156" t="str">
        <f>HYPERLINK("https://ledvance.com/pt/product-datasheet/225868/218396","Ficha Técnica")</f>
        <v>Ficha Técnica</v>
      </c>
      <c r="H203" s="15">
        <v>20</v>
      </c>
      <c r="I203" s="163" t="s">
        <v>1677</v>
      </c>
      <c r="J203" s="15" t="s">
        <v>4007</v>
      </c>
      <c r="K203" s="163" t="s">
        <v>46</v>
      </c>
      <c r="L203" s="15">
        <v>5</v>
      </c>
      <c r="M203" s="188">
        <v>42.7</v>
      </c>
      <c r="N203" s="169" t="s">
        <v>11</v>
      </c>
    </row>
    <row r="204" spans="1:14" x14ac:dyDescent="0.25">
      <c r="A204" s="63" t="s">
        <v>8</v>
      </c>
      <c r="B204" s="71" t="s">
        <v>2319</v>
      </c>
      <c r="C204" s="2">
        <v>4058075799707</v>
      </c>
      <c r="D204" s="84"/>
      <c r="E204" s="85"/>
      <c r="F204" s="16"/>
      <c r="G204" s="156" t="str">
        <f>HYPERLINK("https://ledvance.com/pt/product-datasheet/225868/218399","Ficha Técnica")</f>
        <v>Ficha Técnica</v>
      </c>
      <c r="H204" s="15">
        <v>20</v>
      </c>
      <c r="I204" s="163" t="s">
        <v>1677</v>
      </c>
      <c r="J204" s="15" t="s">
        <v>4007</v>
      </c>
      <c r="K204" s="163" t="s">
        <v>46</v>
      </c>
      <c r="L204" s="15">
        <v>5</v>
      </c>
      <c r="M204" s="188">
        <v>42.7</v>
      </c>
      <c r="N204" s="169" t="s">
        <v>11</v>
      </c>
    </row>
    <row r="205" spans="1:14" x14ac:dyDescent="0.25">
      <c r="A205" s="66" t="s">
        <v>8</v>
      </c>
      <c r="B205" s="69" t="s">
        <v>2088</v>
      </c>
      <c r="C205" s="51"/>
      <c r="D205" s="65"/>
      <c r="E205" s="86"/>
      <c r="F205" s="12"/>
      <c r="G205" s="157"/>
      <c r="H205" s="12"/>
      <c r="I205" s="62"/>
      <c r="J205" s="27"/>
      <c r="K205" s="62"/>
      <c r="L205" s="12"/>
      <c r="M205" s="191"/>
      <c r="N205" s="65"/>
    </row>
    <row r="206" spans="1:14" x14ac:dyDescent="0.25">
      <c r="A206" s="63" t="s">
        <v>8</v>
      </c>
      <c r="B206" s="71" t="s">
        <v>2320</v>
      </c>
      <c r="C206" s="2">
        <v>4099854459825</v>
      </c>
      <c r="D206" s="84"/>
      <c r="E206" s="87"/>
      <c r="F206" s="14"/>
      <c r="G206" s="156" t="str">
        <f>HYPERLINK("https://ledvance.com/pt/product-datasheet/225868/343656","Ficha Técnica")</f>
        <v>Ficha Técnica</v>
      </c>
      <c r="H206" s="58" t="s">
        <v>2104</v>
      </c>
      <c r="I206" s="164" t="s">
        <v>3996</v>
      </c>
      <c r="J206" s="15" t="s">
        <v>4007</v>
      </c>
      <c r="K206" s="164" t="s">
        <v>317</v>
      </c>
      <c r="L206" s="58">
        <v>5</v>
      </c>
      <c r="M206" s="188">
        <v>42.2</v>
      </c>
      <c r="N206" s="169" t="s">
        <v>11</v>
      </c>
    </row>
    <row r="207" spans="1:14" x14ac:dyDescent="0.25">
      <c r="A207" s="140" t="s">
        <v>8</v>
      </c>
      <c r="B207" s="69" t="s">
        <v>2089</v>
      </c>
      <c r="C207" s="51"/>
      <c r="D207" s="65"/>
      <c r="E207" s="86"/>
      <c r="F207" s="12"/>
      <c r="G207" s="157"/>
      <c r="H207" s="12"/>
      <c r="I207" s="62"/>
      <c r="J207" s="27"/>
      <c r="K207" s="62"/>
      <c r="L207" s="12"/>
      <c r="M207" s="191"/>
      <c r="N207" s="65"/>
    </row>
    <row r="208" spans="1:14" x14ac:dyDescent="0.25">
      <c r="A208" s="63" t="s">
        <v>8</v>
      </c>
      <c r="B208" s="71" t="s">
        <v>2321</v>
      </c>
      <c r="C208" s="2">
        <v>4058075799721</v>
      </c>
      <c r="D208" s="84"/>
      <c r="E208" s="85"/>
      <c r="F208" s="16"/>
      <c r="G208" s="156" t="str">
        <f>HYPERLINK("https://ledvance.com/pt/product-datasheet/225869/218402","Ficha Técnica")</f>
        <v>Ficha Técnica</v>
      </c>
      <c r="H208" s="15">
        <v>20</v>
      </c>
      <c r="I208" s="163" t="s">
        <v>1676</v>
      </c>
      <c r="J208" s="15" t="s">
        <v>4007</v>
      </c>
      <c r="K208" s="163" t="s">
        <v>74</v>
      </c>
      <c r="L208" s="15">
        <v>5</v>
      </c>
      <c r="M208" s="188">
        <v>43.3</v>
      </c>
      <c r="N208" s="169" t="s">
        <v>11</v>
      </c>
    </row>
    <row r="209" spans="1:14" x14ac:dyDescent="0.25">
      <c r="A209" s="63" t="s">
        <v>8</v>
      </c>
      <c r="B209" s="71" t="s">
        <v>2322</v>
      </c>
      <c r="C209" s="2">
        <v>4058075799745</v>
      </c>
      <c r="D209" s="84"/>
      <c r="E209" s="85"/>
      <c r="F209" s="16"/>
      <c r="G209" s="156" t="str">
        <f>HYPERLINK("https://ledvance.com/pt/product-datasheet/225869/218405","Ficha Técnica")</f>
        <v>Ficha Técnica</v>
      </c>
      <c r="H209" s="15">
        <v>20</v>
      </c>
      <c r="I209" s="163" t="s">
        <v>1677</v>
      </c>
      <c r="J209" s="15" t="s">
        <v>4007</v>
      </c>
      <c r="K209" s="163" t="s">
        <v>74</v>
      </c>
      <c r="L209" s="15">
        <v>5</v>
      </c>
      <c r="M209" s="188">
        <v>43.3</v>
      </c>
      <c r="N209" s="169" t="s">
        <v>11</v>
      </c>
    </row>
    <row r="210" spans="1:14" x14ac:dyDescent="0.25">
      <c r="A210" s="63" t="s">
        <v>8</v>
      </c>
      <c r="B210" s="71" t="s">
        <v>2323</v>
      </c>
      <c r="C210" s="2">
        <v>4058075799769</v>
      </c>
      <c r="D210" s="84"/>
      <c r="E210" s="85"/>
      <c r="F210" s="16"/>
      <c r="G210" s="156" t="str">
        <f>HYPERLINK("https://ledvance.com/pt/product-datasheet/225869/218408","Ficha Técnica")</f>
        <v>Ficha Técnica</v>
      </c>
      <c r="H210" s="15">
        <v>20</v>
      </c>
      <c r="I210" s="163" t="s">
        <v>1678</v>
      </c>
      <c r="J210" s="15" t="s">
        <v>4007</v>
      </c>
      <c r="K210" s="163" t="s">
        <v>74</v>
      </c>
      <c r="L210" s="15">
        <v>5</v>
      </c>
      <c r="M210" s="188">
        <v>43.3</v>
      </c>
      <c r="N210" s="169" t="s">
        <v>11</v>
      </c>
    </row>
    <row r="211" spans="1:14" x14ac:dyDescent="0.25">
      <c r="A211" s="63" t="s">
        <v>8</v>
      </c>
      <c r="B211" s="71" t="s">
        <v>2324</v>
      </c>
      <c r="C211" s="2">
        <v>4099854000027</v>
      </c>
      <c r="D211" s="84"/>
      <c r="E211" s="85"/>
      <c r="F211" s="16"/>
      <c r="G211" s="156" t="str">
        <f>HYPERLINK("https://ledvance.com/pt/product-datasheet/225869/218675","Ficha Técnica")</f>
        <v>Ficha Técnica</v>
      </c>
      <c r="H211" s="15">
        <v>20</v>
      </c>
      <c r="I211" s="163" t="s">
        <v>1676</v>
      </c>
      <c r="J211" s="15" t="s">
        <v>4007</v>
      </c>
      <c r="K211" s="163" t="s">
        <v>74</v>
      </c>
      <c r="L211" s="15">
        <v>5</v>
      </c>
      <c r="M211" s="188">
        <v>43.3</v>
      </c>
      <c r="N211" s="169" t="s">
        <v>11</v>
      </c>
    </row>
    <row r="212" spans="1:14" x14ac:dyDescent="0.25">
      <c r="A212" s="63" t="s">
        <v>8</v>
      </c>
      <c r="B212" s="71" t="s">
        <v>2325</v>
      </c>
      <c r="C212" s="2">
        <v>4058075799783</v>
      </c>
      <c r="D212" s="84"/>
      <c r="E212" s="85"/>
      <c r="F212" s="16"/>
      <c r="G212" s="156" t="str">
        <f>HYPERLINK("https://ledvance.com/pt/product-datasheet/225869/218413","Ficha Técnica")</f>
        <v>Ficha Técnica</v>
      </c>
      <c r="H212" s="15">
        <v>20</v>
      </c>
      <c r="I212" s="163" t="s">
        <v>1677</v>
      </c>
      <c r="J212" s="15" t="s">
        <v>4007</v>
      </c>
      <c r="K212" s="163" t="s">
        <v>74</v>
      </c>
      <c r="L212" s="15">
        <v>5</v>
      </c>
      <c r="M212" s="188">
        <v>43.3</v>
      </c>
      <c r="N212" s="169" t="s">
        <v>11</v>
      </c>
    </row>
    <row r="213" spans="1:14" x14ac:dyDescent="0.25">
      <c r="A213" s="140" t="s">
        <v>8</v>
      </c>
      <c r="B213" s="69" t="s">
        <v>2090</v>
      </c>
      <c r="C213" s="51"/>
      <c r="D213" s="65"/>
      <c r="E213" s="86"/>
      <c r="F213" s="12"/>
      <c r="G213" s="157"/>
      <c r="H213" s="12"/>
      <c r="I213" s="62"/>
      <c r="J213" s="27"/>
      <c r="K213" s="62"/>
      <c r="L213" s="12"/>
      <c r="M213" s="191"/>
      <c r="N213" s="65"/>
    </row>
    <row r="214" spans="1:14" x14ac:dyDescent="0.25">
      <c r="A214" s="63" t="s">
        <v>8</v>
      </c>
      <c r="B214" s="71" t="s">
        <v>2326</v>
      </c>
      <c r="C214" s="2">
        <v>4058075799523</v>
      </c>
      <c r="D214" s="84"/>
      <c r="E214" s="85"/>
      <c r="F214" s="16"/>
      <c r="G214" s="156" t="str">
        <f>HYPERLINK("https://ledvance.com/pt/product-datasheet/225867/218372","Ficha Técnica")</f>
        <v>Ficha Técnica</v>
      </c>
      <c r="H214" s="15">
        <v>20</v>
      </c>
      <c r="I214" s="163" t="s">
        <v>1676</v>
      </c>
      <c r="J214" s="15" t="s">
        <v>4007</v>
      </c>
      <c r="K214" s="163" t="s">
        <v>20</v>
      </c>
      <c r="L214" s="15">
        <v>5</v>
      </c>
      <c r="M214" s="188">
        <v>41.8</v>
      </c>
      <c r="N214" s="169" t="s">
        <v>11</v>
      </c>
    </row>
    <row r="215" spans="1:14" x14ac:dyDescent="0.25">
      <c r="A215" s="63" t="s">
        <v>8</v>
      </c>
      <c r="B215" s="71" t="s">
        <v>2327</v>
      </c>
      <c r="C215" s="2">
        <v>4058075799547</v>
      </c>
      <c r="D215" s="84"/>
      <c r="E215" s="85"/>
      <c r="F215" s="16"/>
      <c r="G215" s="156" t="str">
        <f>HYPERLINK("https://ledvance.com/pt/product-datasheet/225867/218375","Ficha Técnica")</f>
        <v>Ficha Técnica</v>
      </c>
      <c r="H215" s="15">
        <v>20</v>
      </c>
      <c r="I215" s="163" t="s">
        <v>1677</v>
      </c>
      <c r="J215" s="15" t="s">
        <v>4007</v>
      </c>
      <c r="K215" s="163" t="s">
        <v>20</v>
      </c>
      <c r="L215" s="15">
        <v>5</v>
      </c>
      <c r="M215" s="188">
        <v>41.8</v>
      </c>
      <c r="N215" s="169" t="s">
        <v>11</v>
      </c>
    </row>
    <row r="216" spans="1:14" x14ac:dyDescent="0.25">
      <c r="A216" s="63" t="s">
        <v>8</v>
      </c>
      <c r="B216" s="71" t="s">
        <v>2328</v>
      </c>
      <c r="C216" s="2">
        <v>4058075799561</v>
      </c>
      <c r="D216" s="84"/>
      <c r="E216" s="85"/>
      <c r="F216" s="16"/>
      <c r="G216" s="156" t="str">
        <f>HYPERLINK("https://ledvance.com/pt/product-datasheet/225867/218378","Ficha Técnica")</f>
        <v>Ficha Técnica</v>
      </c>
      <c r="H216" s="15">
        <v>20</v>
      </c>
      <c r="I216" s="163" t="s">
        <v>1677</v>
      </c>
      <c r="J216" s="15" t="s">
        <v>4007</v>
      </c>
      <c r="K216" s="163" t="s">
        <v>20</v>
      </c>
      <c r="L216" s="15">
        <v>5</v>
      </c>
      <c r="M216" s="188">
        <v>41.8</v>
      </c>
      <c r="N216" s="169" t="s">
        <v>11</v>
      </c>
    </row>
    <row r="217" spans="1:14" x14ac:dyDescent="0.25">
      <c r="A217" s="63" t="s">
        <v>8</v>
      </c>
      <c r="B217" s="71" t="s">
        <v>2329</v>
      </c>
      <c r="C217" s="2">
        <v>4099854000126</v>
      </c>
      <c r="D217" s="84"/>
      <c r="E217" s="85"/>
      <c r="F217" s="16"/>
      <c r="G217" s="156" t="str">
        <f>HYPERLINK("https://ledvance.com/pt/product-datasheet/225867/218669","Ficha Técnica")</f>
        <v>Ficha Técnica</v>
      </c>
      <c r="H217" s="15">
        <v>20</v>
      </c>
      <c r="I217" s="163" t="s">
        <v>1676</v>
      </c>
      <c r="J217" s="15" t="s">
        <v>4007</v>
      </c>
      <c r="K217" s="163" t="s">
        <v>20</v>
      </c>
      <c r="L217" s="15">
        <v>5</v>
      </c>
      <c r="M217" s="188">
        <v>41.8</v>
      </c>
      <c r="N217" s="169" t="s">
        <v>11</v>
      </c>
    </row>
    <row r="218" spans="1:14" x14ac:dyDescent="0.25">
      <c r="A218" s="63" t="s">
        <v>8</v>
      </c>
      <c r="B218" s="71" t="s">
        <v>2330</v>
      </c>
      <c r="C218" s="2">
        <v>4058075799585</v>
      </c>
      <c r="D218" s="84"/>
      <c r="E218" s="85"/>
      <c r="F218" s="16"/>
      <c r="G218" s="156" t="str">
        <f>HYPERLINK("https://ledvance.com/pt/product-datasheet/225867/218381","Ficha Técnica")</f>
        <v>Ficha Técnica</v>
      </c>
      <c r="H218" s="15">
        <v>20</v>
      </c>
      <c r="I218" s="163" t="s">
        <v>1677</v>
      </c>
      <c r="J218" s="15" t="s">
        <v>4007</v>
      </c>
      <c r="K218" s="163" t="s">
        <v>20</v>
      </c>
      <c r="L218" s="15">
        <v>5</v>
      </c>
      <c r="M218" s="188">
        <v>41.8</v>
      </c>
      <c r="N218" s="169" t="s">
        <v>11</v>
      </c>
    </row>
    <row r="219" spans="1:14" x14ac:dyDescent="0.25">
      <c r="A219" s="63" t="s">
        <v>8</v>
      </c>
      <c r="B219" s="71" t="s">
        <v>2331</v>
      </c>
      <c r="C219" s="2">
        <v>4058075799608</v>
      </c>
      <c r="D219" s="84"/>
      <c r="E219" s="85"/>
      <c r="F219" s="16"/>
      <c r="G219" s="156" t="str">
        <f>HYPERLINK("https://ledvance.com/pt/product-datasheet/225867/218384","Ficha Técnica")</f>
        <v>Ficha Técnica</v>
      </c>
      <c r="H219" s="15">
        <v>20</v>
      </c>
      <c r="I219" s="163" t="s">
        <v>1677</v>
      </c>
      <c r="J219" s="15" t="s">
        <v>4007</v>
      </c>
      <c r="K219" s="163" t="s">
        <v>20</v>
      </c>
      <c r="L219" s="15">
        <v>5</v>
      </c>
      <c r="M219" s="188">
        <v>41.8</v>
      </c>
      <c r="N219" s="169" t="s">
        <v>11</v>
      </c>
    </row>
    <row r="220" spans="1:14" x14ac:dyDescent="0.25">
      <c r="A220" s="66" t="s">
        <v>8</v>
      </c>
      <c r="B220" s="69" t="s">
        <v>2091</v>
      </c>
      <c r="C220" s="51"/>
      <c r="D220" s="65"/>
      <c r="E220" s="86"/>
      <c r="F220" s="12"/>
      <c r="G220" s="157"/>
      <c r="H220" s="12"/>
      <c r="I220" s="62"/>
      <c r="J220" s="27"/>
      <c r="K220" s="62"/>
      <c r="L220" s="12"/>
      <c r="M220" s="191"/>
      <c r="N220" s="65"/>
    </row>
    <row r="221" spans="1:14" x14ac:dyDescent="0.25">
      <c r="A221" s="63" t="s">
        <v>8</v>
      </c>
      <c r="B221" s="71" t="s">
        <v>2332</v>
      </c>
      <c r="C221" s="2">
        <v>4058075799806</v>
      </c>
      <c r="D221" s="84"/>
      <c r="E221" s="85"/>
      <c r="F221" s="16"/>
      <c r="G221" s="156" t="str">
        <f>HYPERLINK("https://ledvance.com/pt/product-datasheet/225870/218419","Ficha Técnica")</f>
        <v>Ficha Técnica</v>
      </c>
      <c r="H221" s="15">
        <v>20</v>
      </c>
      <c r="I221" s="163" t="s">
        <v>1676</v>
      </c>
      <c r="J221" s="15" t="s">
        <v>4007</v>
      </c>
      <c r="K221" s="163" t="s">
        <v>38</v>
      </c>
      <c r="L221" s="15">
        <v>5</v>
      </c>
      <c r="M221" s="188">
        <v>42.7</v>
      </c>
      <c r="N221" s="169" t="s">
        <v>11</v>
      </c>
    </row>
    <row r="222" spans="1:14" x14ac:dyDescent="0.25">
      <c r="A222" s="63" t="s">
        <v>8</v>
      </c>
      <c r="B222" s="71" t="s">
        <v>2333</v>
      </c>
      <c r="C222" s="2">
        <v>4058075799820</v>
      </c>
      <c r="D222" s="84"/>
      <c r="E222" s="85"/>
      <c r="F222" s="16"/>
      <c r="G222" s="156" t="str">
        <f>HYPERLINK("https://ledvance.com/pt/product-datasheet/225870/218425","Ficha Técnica")</f>
        <v>Ficha Técnica</v>
      </c>
      <c r="H222" s="15">
        <v>20</v>
      </c>
      <c r="I222" s="163" t="s">
        <v>1677</v>
      </c>
      <c r="J222" s="15" t="s">
        <v>4007</v>
      </c>
      <c r="K222" s="163" t="s">
        <v>38</v>
      </c>
      <c r="L222" s="15">
        <v>5</v>
      </c>
      <c r="M222" s="188">
        <v>42.7</v>
      </c>
      <c r="N222" s="169" t="s">
        <v>11</v>
      </c>
    </row>
    <row r="223" spans="1:14" x14ac:dyDescent="0.25">
      <c r="A223" s="63" t="s">
        <v>8</v>
      </c>
      <c r="B223" s="71" t="s">
        <v>2334</v>
      </c>
      <c r="C223" s="2">
        <v>4058075799844</v>
      </c>
      <c r="D223" s="84"/>
      <c r="E223" s="85"/>
      <c r="F223" s="16"/>
      <c r="G223" s="156" t="str">
        <f>HYPERLINK("https://ledvance.com/pt/product-datasheet/225870/218431","Ficha Técnica")</f>
        <v>Ficha Técnica</v>
      </c>
      <c r="H223" s="15">
        <v>20</v>
      </c>
      <c r="I223" s="163" t="s">
        <v>1678</v>
      </c>
      <c r="J223" s="15" t="s">
        <v>4007</v>
      </c>
      <c r="K223" s="163" t="s">
        <v>38</v>
      </c>
      <c r="L223" s="15">
        <v>5</v>
      </c>
      <c r="M223" s="188">
        <v>42.7</v>
      </c>
      <c r="N223" s="169" t="s">
        <v>11</v>
      </c>
    </row>
    <row r="224" spans="1:14" x14ac:dyDescent="0.25">
      <c r="A224" s="63" t="s">
        <v>8</v>
      </c>
      <c r="B224" s="71" t="s">
        <v>2335</v>
      </c>
      <c r="C224" s="2">
        <v>4099854000164</v>
      </c>
      <c r="D224" s="84"/>
      <c r="E224" s="85"/>
      <c r="F224" s="16"/>
      <c r="G224" s="156" t="str">
        <f>HYPERLINK("https://ledvance.com/pt/product-datasheet/225870/218678","Ficha Técnica")</f>
        <v>Ficha Técnica</v>
      </c>
      <c r="H224" s="15">
        <v>20</v>
      </c>
      <c r="I224" s="163" t="s">
        <v>1676</v>
      </c>
      <c r="J224" s="15" t="s">
        <v>4007</v>
      </c>
      <c r="K224" s="163" t="s">
        <v>38</v>
      </c>
      <c r="L224" s="15">
        <v>5</v>
      </c>
      <c r="M224" s="188">
        <v>42.7</v>
      </c>
      <c r="N224" s="169" t="s">
        <v>11</v>
      </c>
    </row>
    <row r="225" spans="1:14" x14ac:dyDescent="0.25">
      <c r="A225" s="63" t="s">
        <v>8</v>
      </c>
      <c r="B225" s="71" t="s">
        <v>2336</v>
      </c>
      <c r="C225" s="2">
        <v>4058075799868</v>
      </c>
      <c r="D225" s="84"/>
      <c r="E225" s="85"/>
      <c r="F225" s="16"/>
      <c r="G225" s="156" t="str">
        <f>HYPERLINK("https://ledvance.com/pt/product-datasheet/225870/218437","Ficha Técnica")</f>
        <v>Ficha Técnica</v>
      </c>
      <c r="H225" s="15">
        <v>20</v>
      </c>
      <c r="I225" s="163" t="s">
        <v>1677</v>
      </c>
      <c r="J225" s="15" t="s">
        <v>4007</v>
      </c>
      <c r="K225" s="163" t="s">
        <v>38</v>
      </c>
      <c r="L225" s="15">
        <v>5</v>
      </c>
      <c r="M225" s="188">
        <v>42.7</v>
      </c>
      <c r="N225" s="169" t="s">
        <v>11</v>
      </c>
    </row>
    <row r="226" spans="1:14" x14ac:dyDescent="0.25">
      <c r="A226" s="63" t="s">
        <v>8</v>
      </c>
      <c r="B226" s="71" t="s">
        <v>2337</v>
      </c>
      <c r="C226" s="2">
        <v>4058075799882</v>
      </c>
      <c r="D226" s="84"/>
      <c r="E226" s="85"/>
      <c r="F226" s="16"/>
      <c r="G226" s="156" t="str">
        <f>HYPERLINK("https://ledvance.com/pt/product-datasheet/225870/218443","Ficha Técnica")</f>
        <v>Ficha Técnica</v>
      </c>
      <c r="H226" s="15">
        <v>20</v>
      </c>
      <c r="I226" s="163" t="s">
        <v>1677</v>
      </c>
      <c r="J226" s="15" t="s">
        <v>4007</v>
      </c>
      <c r="K226" s="163" t="s">
        <v>38</v>
      </c>
      <c r="L226" s="15">
        <v>5</v>
      </c>
      <c r="M226" s="188">
        <v>42.7</v>
      </c>
      <c r="N226" s="169" t="s">
        <v>11</v>
      </c>
    </row>
    <row r="227" spans="1:14" x14ac:dyDescent="0.25">
      <c r="A227" s="66" t="s">
        <v>8</v>
      </c>
      <c r="B227" s="69" t="s">
        <v>93</v>
      </c>
      <c r="C227" s="51"/>
      <c r="D227" s="65"/>
      <c r="E227" s="86"/>
      <c r="F227" s="12"/>
      <c r="G227" s="157"/>
      <c r="H227" s="12"/>
      <c r="I227" s="62"/>
      <c r="J227" s="27"/>
      <c r="K227" s="62"/>
      <c r="L227" s="12"/>
      <c r="M227" s="191"/>
      <c r="N227" s="65"/>
    </row>
    <row r="228" spans="1:14" x14ac:dyDescent="0.25">
      <c r="A228" s="63" t="s">
        <v>8</v>
      </c>
      <c r="B228" s="71" t="s">
        <v>2338</v>
      </c>
      <c r="C228" s="2">
        <v>4058075799905</v>
      </c>
      <c r="D228" s="84"/>
      <c r="E228" s="85"/>
      <c r="F228" s="16"/>
      <c r="G228" s="156" t="str">
        <f>HYPERLINK("https://ledvance.com/pt/product-datasheet/225871/218446","Ficha Técnica")</f>
        <v>Ficha Técnica</v>
      </c>
      <c r="H228" s="15">
        <v>20</v>
      </c>
      <c r="I228" s="163" t="s">
        <v>1679</v>
      </c>
      <c r="J228" s="15" t="s">
        <v>4006</v>
      </c>
      <c r="K228" s="163" t="s">
        <v>74</v>
      </c>
      <c r="L228" s="15">
        <v>5</v>
      </c>
      <c r="M228" s="188">
        <v>40</v>
      </c>
      <c r="N228" s="169" t="s">
        <v>11</v>
      </c>
    </row>
    <row r="229" spans="1:14" x14ac:dyDescent="0.25">
      <c r="A229" s="63" t="s">
        <v>8</v>
      </c>
      <c r="B229" s="71" t="s">
        <v>2339</v>
      </c>
      <c r="C229" s="2">
        <v>4058075799929</v>
      </c>
      <c r="D229" s="84"/>
      <c r="E229" s="85"/>
      <c r="F229" s="16"/>
      <c r="G229" s="156" t="str">
        <f>HYPERLINK("https://ledvance.com/pt/product-datasheet/225871/218449","Ficha Técnica")</f>
        <v>Ficha Técnica</v>
      </c>
      <c r="H229" s="15">
        <v>20</v>
      </c>
      <c r="I229" s="163" t="s">
        <v>1680</v>
      </c>
      <c r="J229" s="15" t="s">
        <v>4006</v>
      </c>
      <c r="K229" s="163" t="s">
        <v>74</v>
      </c>
      <c r="L229" s="15">
        <v>5</v>
      </c>
      <c r="M229" s="188">
        <v>40</v>
      </c>
      <c r="N229" s="169" t="s">
        <v>11</v>
      </c>
    </row>
    <row r="230" spans="1:14" x14ac:dyDescent="0.25">
      <c r="A230" s="63" t="s">
        <v>8</v>
      </c>
      <c r="B230" s="71" t="s">
        <v>2340</v>
      </c>
      <c r="C230" s="2">
        <v>4058075799943</v>
      </c>
      <c r="D230" s="84"/>
      <c r="E230" s="85"/>
      <c r="F230" s="16"/>
      <c r="G230" s="156" t="str">
        <f>HYPERLINK("https://ledvance.com/pt/product-datasheet/225871/218454","Ficha Técnica")</f>
        <v>Ficha Técnica</v>
      </c>
      <c r="H230" s="15">
        <v>20</v>
      </c>
      <c r="I230" s="163" t="s">
        <v>1681</v>
      </c>
      <c r="J230" s="15" t="s">
        <v>4006</v>
      </c>
      <c r="K230" s="163" t="s">
        <v>74</v>
      </c>
      <c r="L230" s="15">
        <v>5</v>
      </c>
      <c r="M230" s="188">
        <v>40</v>
      </c>
      <c r="N230" s="169" t="s">
        <v>11</v>
      </c>
    </row>
    <row r="231" spans="1:14" x14ac:dyDescent="0.25">
      <c r="A231" s="63" t="s">
        <v>8</v>
      </c>
      <c r="B231" s="71" t="s">
        <v>2341</v>
      </c>
      <c r="C231" s="2">
        <v>4099854000188</v>
      </c>
      <c r="D231" s="84"/>
      <c r="E231" s="85"/>
      <c r="F231" s="16"/>
      <c r="G231" s="156" t="str">
        <f>HYPERLINK("https://ledvance.com/pt/product-datasheet/225871/218681","Ficha Técnica")</f>
        <v>Ficha Técnica</v>
      </c>
      <c r="H231" s="15">
        <v>20</v>
      </c>
      <c r="I231" s="163" t="s">
        <v>1679</v>
      </c>
      <c r="J231" s="15" t="s">
        <v>4006</v>
      </c>
      <c r="K231" s="163" t="s">
        <v>74</v>
      </c>
      <c r="L231" s="15">
        <v>5</v>
      </c>
      <c r="M231" s="188">
        <v>40</v>
      </c>
      <c r="N231" s="169" t="s">
        <v>11</v>
      </c>
    </row>
    <row r="232" spans="1:14" x14ac:dyDescent="0.25">
      <c r="A232" s="63" t="s">
        <v>8</v>
      </c>
      <c r="B232" s="71" t="s">
        <v>2342</v>
      </c>
      <c r="C232" s="2">
        <v>4058075799967</v>
      </c>
      <c r="D232" s="84"/>
      <c r="E232" s="85"/>
      <c r="F232" s="16"/>
      <c r="G232" s="156" t="str">
        <f>HYPERLINK("https://ledvance.com/pt/product-datasheet/225871/218460","Ficha Técnica")</f>
        <v>Ficha Técnica</v>
      </c>
      <c r="H232" s="15">
        <v>20</v>
      </c>
      <c r="I232" s="163" t="s">
        <v>1680</v>
      </c>
      <c r="J232" s="15" t="s">
        <v>4006</v>
      </c>
      <c r="K232" s="163" t="s">
        <v>74</v>
      </c>
      <c r="L232" s="15">
        <v>5</v>
      </c>
      <c r="M232" s="188">
        <v>40</v>
      </c>
      <c r="N232" s="169" t="s">
        <v>11</v>
      </c>
    </row>
    <row r="233" spans="1:14" x14ac:dyDescent="0.25">
      <c r="A233" s="63" t="s">
        <v>8</v>
      </c>
      <c r="B233" s="71" t="s">
        <v>2343</v>
      </c>
      <c r="C233" s="2">
        <v>4058075799981</v>
      </c>
      <c r="D233" s="84"/>
      <c r="E233" s="85"/>
      <c r="F233" s="16"/>
      <c r="G233" s="156" t="str">
        <f>HYPERLINK("https://ledvance.com/pt/product-datasheet/225871/218466","Ficha Técnica")</f>
        <v>Ficha Técnica</v>
      </c>
      <c r="H233" s="15">
        <v>20</v>
      </c>
      <c r="I233" s="163" t="s">
        <v>1680</v>
      </c>
      <c r="J233" s="15" t="s">
        <v>4006</v>
      </c>
      <c r="K233" s="163" t="s">
        <v>74</v>
      </c>
      <c r="L233" s="15">
        <v>5</v>
      </c>
      <c r="M233" s="188">
        <v>40</v>
      </c>
      <c r="N233" s="169" t="s">
        <v>11</v>
      </c>
    </row>
    <row r="234" spans="1:14" x14ac:dyDescent="0.25">
      <c r="A234" s="63" t="s">
        <v>8</v>
      </c>
      <c r="B234" s="71" t="s">
        <v>2344</v>
      </c>
      <c r="C234" s="2">
        <v>4099854000003</v>
      </c>
      <c r="D234" s="84"/>
      <c r="E234" s="85"/>
      <c r="F234" s="16"/>
      <c r="G234" s="156" t="str">
        <f>HYPERLINK("https://ledvance.com/pt/product-datasheet/225872/218410","Ficha Técnica")</f>
        <v>Ficha Técnica</v>
      </c>
      <c r="H234" s="15">
        <v>20</v>
      </c>
      <c r="I234" s="163">
        <v>300</v>
      </c>
      <c r="J234" s="15">
        <v>4</v>
      </c>
      <c r="K234" s="163" t="s">
        <v>94</v>
      </c>
      <c r="L234" s="15">
        <v>5</v>
      </c>
      <c r="M234" s="188">
        <v>42.1</v>
      </c>
      <c r="N234" s="169" t="s">
        <v>11</v>
      </c>
    </row>
    <row r="235" spans="1:14" x14ac:dyDescent="0.25">
      <c r="A235" s="63" t="s">
        <v>8</v>
      </c>
      <c r="B235" s="71" t="s">
        <v>2345</v>
      </c>
      <c r="C235" s="2">
        <v>4099854000041</v>
      </c>
      <c r="D235" s="84"/>
      <c r="E235" s="85"/>
      <c r="F235" s="16"/>
      <c r="G235" s="156" t="str">
        <f>HYPERLINK("https://ledvance.com/pt/product-datasheet/225872/218418","Ficha Técnica")</f>
        <v>Ficha Técnica</v>
      </c>
      <c r="H235" s="15">
        <v>20</v>
      </c>
      <c r="I235" s="163">
        <v>320</v>
      </c>
      <c r="J235" s="15">
        <v>4</v>
      </c>
      <c r="K235" s="163" t="s">
        <v>94</v>
      </c>
      <c r="L235" s="15">
        <v>5</v>
      </c>
      <c r="M235" s="188">
        <v>42.1</v>
      </c>
      <c r="N235" s="169" t="s">
        <v>11</v>
      </c>
    </row>
    <row r="236" spans="1:14" x14ac:dyDescent="0.25">
      <c r="A236" s="63" t="s">
        <v>8</v>
      </c>
      <c r="B236" s="71" t="s">
        <v>2346</v>
      </c>
      <c r="C236" s="2">
        <v>4099854000065</v>
      </c>
      <c r="D236" s="84"/>
      <c r="E236" s="85"/>
      <c r="F236" s="16"/>
      <c r="G236" s="156" t="str">
        <f>HYPERLINK("https://ledvance.com/pt/product-datasheet/225872/218424","Ficha Técnica")</f>
        <v>Ficha Técnica</v>
      </c>
      <c r="H236" s="15">
        <v>20</v>
      </c>
      <c r="I236" s="163">
        <v>340</v>
      </c>
      <c r="J236" s="15">
        <v>4</v>
      </c>
      <c r="K236" s="163" t="s">
        <v>94</v>
      </c>
      <c r="L236" s="15">
        <v>5</v>
      </c>
      <c r="M236" s="188">
        <v>42.1</v>
      </c>
      <c r="N236" s="169" t="s">
        <v>11</v>
      </c>
    </row>
    <row r="237" spans="1:14" x14ac:dyDescent="0.25">
      <c r="A237" s="63" t="s">
        <v>8</v>
      </c>
      <c r="B237" s="71" t="s">
        <v>2347</v>
      </c>
      <c r="C237" s="2">
        <v>4099854000201</v>
      </c>
      <c r="D237" s="84"/>
      <c r="E237" s="85"/>
      <c r="F237" s="16"/>
      <c r="G237" s="156" t="str">
        <f>HYPERLINK("https://ledvance.com/pt/product-datasheet/225872/218684","Ficha Técnica")</f>
        <v>Ficha Técnica</v>
      </c>
      <c r="H237" s="15">
        <v>20</v>
      </c>
      <c r="I237" s="163">
        <v>300</v>
      </c>
      <c r="J237" s="15">
        <v>4</v>
      </c>
      <c r="K237" s="163" t="s">
        <v>94</v>
      </c>
      <c r="L237" s="15">
        <v>5</v>
      </c>
      <c r="M237" s="188">
        <v>42.1</v>
      </c>
      <c r="N237" s="169" t="s">
        <v>11</v>
      </c>
    </row>
    <row r="238" spans="1:14" x14ac:dyDescent="0.25">
      <c r="A238" s="63" t="s">
        <v>8</v>
      </c>
      <c r="B238" s="71" t="s">
        <v>2348</v>
      </c>
      <c r="C238" s="2">
        <v>4099854000089</v>
      </c>
      <c r="D238" s="84"/>
      <c r="E238" s="85"/>
      <c r="F238" s="16"/>
      <c r="G238" s="156" t="str">
        <f>HYPERLINK("https://ledvance.com/pt/product-datasheet/225872/218430","Ficha Técnica")</f>
        <v>Ficha Técnica</v>
      </c>
      <c r="H238" s="15">
        <v>20</v>
      </c>
      <c r="I238" s="163">
        <v>320</v>
      </c>
      <c r="J238" s="15">
        <v>4</v>
      </c>
      <c r="K238" s="163" t="s">
        <v>94</v>
      </c>
      <c r="L238" s="15">
        <v>5</v>
      </c>
      <c r="M238" s="188">
        <v>42.1</v>
      </c>
      <c r="N238" s="169" t="s">
        <v>11</v>
      </c>
    </row>
    <row r="239" spans="1:14" x14ac:dyDescent="0.25">
      <c r="A239" s="63" t="s">
        <v>8</v>
      </c>
      <c r="B239" s="71" t="s">
        <v>2349</v>
      </c>
      <c r="C239" s="2">
        <v>4099854000102</v>
      </c>
      <c r="D239" s="84"/>
      <c r="E239" s="85"/>
      <c r="F239" s="16"/>
      <c r="G239" s="156" t="str">
        <f>HYPERLINK("https://ledvance.com/pt/product-datasheet/225872/218436","Ficha Técnica")</f>
        <v>Ficha Técnica</v>
      </c>
      <c r="H239" s="15">
        <v>20</v>
      </c>
      <c r="I239" s="163">
        <v>320</v>
      </c>
      <c r="J239" s="15">
        <v>4</v>
      </c>
      <c r="K239" s="163" t="s">
        <v>94</v>
      </c>
      <c r="L239" s="15">
        <v>5</v>
      </c>
      <c r="M239" s="188">
        <v>42.1</v>
      </c>
      <c r="N239" s="169" t="s">
        <v>11</v>
      </c>
    </row>
    <row r="240" spans="1:14" x14ac:dyDescent="0.25">
      <c r="A240" s="66" t="s">
        <v>40</v>
      </c>
      <c r="B240" s="69" t="s">
        <v>2092</v>
      </c>
      <c r="C240" s="51"/>
      <c r="D240" s="65"/>
      <c r="E240" s="86"/>
      <c r="F240" s="12"/>
      <c r="G240" s="157"/>
      <c r="H240" s="12"/>
      <c r="I240" s="62"/>
      <c r="J240" s="27"/>
      <c r="K240" s="62"/>
      <c r="L240" s="12"/>
      <c r="M240" s="191"/>
      <c r="N240" s="65"/>
    </row>
    <row r="241" spans="1:14" x14ac:dyDescent="0.25">
      <c r="A241" s="63" t="s">
        <v>40</v>
      </c>
      <c r="B241" s="71" t="s">
        <v>95</v>
      </c>
      <c r="C241" s="2">
        <v>4099854136511</v>
      </c>
      <c r="D241" s="90"/>
      <c r="E241" s="91"/>
      <c r="F241" s="16"/>
      <c r="G241" s="156" t="str">
        <f>HYPERLINK("https://ledvance.com/pt/product-datasheet/225875/263311","Ficha Técnica")</f>
        <v>Ficha Técnica</v>
      </c>
      <c r="H241" s="15">
        <v>20</v>
      </c>
      <c r="I241" s="163"/>
      <c r="J241" s="15"/>
      <c r="K241" s="163"/>
      <c r="L241" s="15">
        <v>2</v>
      </c>
      <c r="M241" s="188">
        <v>4.5999999999999996</v>
      </c>
      <c r="N241" s="169" t="s">
        <v>11</v>
      </c>
    </row>
    <row r="242" spans="1:14" x14ac:dyDescent="0.25">
      <c r="A242" s="63" t="s">
        <v>40</v>
      </c>
      <c r="B242" s="71" t="s">
        <v>96</v>
      </c>
      <c r="C242" s="2">
        <v>4099854136542</v>
      </c>
      <c r="D242" s="90"/>
      <c r="E242" s="91"/>
      <c r="F242" s="16"/>
      <c r="G242" s="156" t="str">
        <f>HYPERLINK("https://ledvance.com/pt/product-datasheet/225875/263315","Ficha Técnica")</f>
        <v>Ficha Técnica</v>
      </c>
      <c r="H242" s="15">
        <v>20</v>
      </c>
      <c r="I242" s="163"/>
      <c r="J242" s="15"/>
      <c r="K242" s="163"/>
      <c r="L242" s="15">
        <v>2</v>
      </c>
      <c r="M242" s="188">
        <v>4.5999999999999996</v>
      </c>
      <c r="N242" s="169" t="s">
        <v>11</v>
      </c>
    </row>
    <row r="243" spans="1:14" x14ac:dyDescent="0.25">
      <c r="A243" s="63" t="s">
        <v>40</v>
      </c>
      <c r="B243" s="71" t="s">
        <v>97</v>
      </c>
      <c r="C243" s="2">
        <v>4099854013355</v>
      </c>
      <c r="D243" s="84"/>
      <c r="E243" s="85"/>
      <c r="F243" s="16"/>
      <c r="G243" s="156" t="str">
        <f>HYPERLINK("https://ledvance.com/pt/product-datasheet/225875/221716","Ficha Técnica")</f>
        <v>Ficha Técnica</v>
      </c>
      <c r="H243" s="15">
        <v>20</v>
      </c>
      <c r="I243" s="163"/>
      <c r="J243" s="15"/>
      <c r="K243" s="163"/>
      <c r="L243" s="15">
        <v>2</v>
      </c>
      <c r="M243" s="188">
        <v>5.5</v>
      </c>
      <c r="N243" s="169" t="s">
        <v>11</v>
      </c>
    </row>
    <row r="244" spans="1:14" x14ac:dyDescent="0.25">
      <c r="A244" s="63" t="s">
        <v>40</v>
      </c>
      <c r="B244" s="71" t="s">
        <v>98</v>
      </c>
      <c r="C244" s="2">
        <v>4099854013386</v>
      </c>
      <c r="D244" s="84"/>
      <c r="E244" s="85"/>
      <c r="F244" s="16"/>
      <c r="G244" s="156" t="str">
        <f>HYPERLINK("https://ledvance.com/pt/product-datasheet/225875/221708","Ficha Técnica")</f>
        <v>Ficha Técnica</v>
      </c>
      <c r="H244" s="15">
        <v>20</v>
      </c>
      <c r="I244" s="163"/>
      <c r="J244" s="15"/>
      <c r="K244" s="163"/>
      <c r="L244" s="15">
        <v>2</v>
      </c>
      <c r="M244" s="188">
        <v>5.5</v>
      </c>
      <c r="N244" s="169" t="s">
        <v>11</v>
      </c>
    </row>
    <row r="245" spans="1:14" x14ac:dyDescent="0.25">
      <c r="A245" s="63" t="s">
        <v>40</v>
      </c>
      <c r="B245" s="71" t="s">
        <v>99</v>
      </c>
      <c r="C245" s="2">
        <v>4099854013416</v>
      </c>
      <c r="D245" s="84"/>
      <c r="E245" s="85"/>
      <c r="F245" s="16"/>
      <c r="G245" s="156" t="str">
        <f>HYPERLINK("https://ledvance.com/pt/product-datasheet/225875/221720","Ficha Técnica")</f>
        <v>Ficha Técnica</v>
      </c>
      <c r="H245" s="15">
        <v>20</v>
      </c>
      <c r="I245" s="163"/>
      <c r="J245" s="15"/>
      <c r="K245" s="163"/>
      <c r="L245" s="15">
        <v>2</v>
      </c>
      <c r="M245" s="188">
        <v>10.5</v>
      </c>
      <c r="N245" s="169" t="s">
        <v>11</v>
      </c>
    </row>
    <row r="246" spans="1:14" x14ac:dyDescent="0.25">
      <c r="A246" s="63" t="s">
        <v>40</v>
      </c>
      <c r="B246" s="71" t="s">
        <v>100</v>
      </c>
      <c r="C246" s="2">
        <v>4099854013447</v>
      </c>
      <c r="D246" s="84"/>
      <c r="E246" s="85"/>
      <c r="F246" s="16"/>
      <c r="G246" s="156" t="str">
        <f>HYPERLINK("https://ledvance.com/pt/product-datasheet/225875/221712","Ficha Técnica")</f>
        <v>Ficha Técnica</v>
      </c>
      <c r="H246" s="15">
        <v>20</v>
      </c>
      <c r="I246" s="163"/>
      <c r="J246" s="15"/>
      <c r="K246" s="163"/>
      <c r="L246" s="15">
        <v>2</v>
      </c>
      <c r="M246" s="188">
        <v>10.5</v>
      </c>
      <c r="N246" s="169" t="s">
        <v>11</v>
      </c>
    </row>
    <row r="247" spans="1:14" x14ac:dyDescent="0.25">
      <c r="A247" s="63" t="s">
        <v>40</v>
      </c>
      <c r="B247" s="71" t="s">
        <v>101</v>
      </c>
      <c r="C247" s="2">
        <v>4099854013478</v>
      </c>
      <c r="D247" s="84"/>
      <c r="E247" s="85"/>
      <c r="F247" s="16"/>
      <c r="G247" s="156" t="str">
        <f>HYPERLINK("https://ledvance.com/pt/product-datasheet/225876/221724","Ficha Técnica")</f>
        <v>Ficha Técnica</v>
      </c>
      <c r="H247" s="15">
        <v>20</v>
      </c>
      <c r="I247" s="163"/>
      <c r="J247" s="15"/>
      <c r="K247" s="163"/>
      <c r="L247" s="15">
        <v>2</v>
      </c>
      <c r="M247" s="188">
        <v>2.1</v>
      </c>
      <c r="N247" s="169" t="s">
        <v>11</v>
      </c>
    </row>
    <row r="248" spans="1:14" x14ac:dyDescent="0.25">
      <c r="A248" s="63" t="s">
        <v>40</v>
      </c>
      <c r="B248" s="71" t="s">
        <v>102</v>
      </c>
      <c r="C248" s="2">
        <v>4099854013508</v>
      </c>
      <c r="D248" s="84"/>
      <c r="E248" s="85"/>
      <c r="F248" s="16"/>
      <c r="G248" s="156" t="str">
        <f>HYPERLINK("https://ledvance.com/pt/product-datasheet/225877/221728","Ficha Técnica")</f>
        <v>Ficha Técnica</v>
      </c>
      <c r="H248" s="15">
        <v>20</v>
      </c>
      <c r="I248" s="163"/>
      <c r="J248" s="15"/>
      <c r="K248" s="163"/>
      <c r="L248" s="15">
        <v>2</v>
      </c>
      <c r="M248" s="188">
        <v>4.2</v>
      </c>
      <c r="N248" s="169" t="s">
        <v>11</v>
      </c>
    </row>
    <row r="249" spans="1:14" x14ac:dyDescent="0.25">
      <c r="A249" s="63" t="s">
        <v>40</v>
      </c>
      <c r="B249" s="71" t="s">
        <v>2046</v>
      </c>
      <c r="C249" s="2">
        <v>4099854459917</v>
      </c>
      <c r="D249" s="84"/>
      <c r="E249" s="87"/>
      <c r="F249" s="14"/>
      <c r="G249" s="156" t="str">
        <f>HYPERLINK("https://ledvance.com/pt/product-datasheet/365217/343663","Ficha Técnica")</f>
        <v>Ficha Técnica</v>
      </c>
      <c r="H249" s="58" t="s">
        <v>2104</v>
      </c>
      <c r="I249" s="164"/>
      <c r="J249" s="206"/>
      <c r="K249" s="164"/>
      <c r="L249" s="58">
        <v>2</v>
      </c>
      <c r="M249" s="188">
        <v>5.7</v>
      </c>
      <c r="N249" s="169" t="s">
        <v>11</v>
      </c>
    </row>
    <row r="250" spans="1:14" x14ac:dyDescent="0.25">
      <c r="A250" s="63" t="s">
        <v>40</v>
      </c>
      <c r="B250" s="71" t="s">
        <v>2047</v>
      </c>
      <c r="C250" s="2">
        <v>4099854459962</v>
      </c>
      <c r="D250" s="84"/>
      <c r="E250" s="87"/>
      <c r="F250" s="14"/>
      <c r="G250" s="156" t="str">
        <f>HYPERLINK("https://ledvance.com/pt/product-datasheet/365217/343667","Ficha Técnica")</f>
        <v>Ficha Técnica</v>
      </c>
      <c r="H250" s="58" t="s">
        <v>2104</v>
      </c>
      <c r="I250" s="164"/>
      <c r="J250" s="206"/>
      <c r="K250" s="164"/>
      <c r="L250" s="58">
        <v>2</v>
      </c>
      <c r="M250" s="188">
        <v>5.7</v>
      </c>
      <c r="N250" s="169" t="s">
        <v>11</v>
      </c>
    </row>
    <row r="251" spans="1:14" x14ac:dyDescent="0.25">
      <c r="A251" s="63" t="s">
        <v>40</v>
      </c>
      <c r="B251" s="71" t="s">
        <v>2048</v>
      </c>
      <c r="C251" s="2">
        <v>4099854459863</v>
      </c>
      <c r="D251" s="84"/>
      <c r="E251" s="87"/>
      <c r="F251" s="14"/>
      <c r="G251" s="156" t="str">
        <f>HYPERLINK("https://ledvance.com/pt/product-datasheet/365217/343659","Ficha Técnica")</f>
        <v>Ficha Técnica</v>
      </c>
      <c r="H251" s="58" t="s">
        <v>2104</v>
      </c>
      <c r="I251" s="164"/>
      <c r="J251" s="206"/>
      <c r="K251" s="164"/>
      <c r="L251" s="58">
        <v>2</v>
      </c>
      <c r="M251" s="188">
        <v>5.7</v>
      </c>
      <c r="N251" s="169" t="s">
        <v>11</v>
      </c>
    </row>
    <row r="252" spans="1:14" x14ac:dyDescent="0.25">
      <c r="A252" s="63" t="s">
        <v>40</v>
      </c>
      <c r="B252" s="71" t="s">
        <v>2049</v>
      </c>
      <c r="C252" s="2">
        <v>4099854460081</v>
      </c>
      <c r="D252" s="84"/>
      <c r="E252" s="87"/>
      <c r="F252" s="14"/>
      <c r="G252" s="156" t="str">
        <f>HYPERLINK("https://ledvance.com/pt/product-datasheet/365217/343695","Ficha Técnica")</f>
        <v>Ficha Técnica</v>
      </c>
      <c r="H252" s="58" t="s">
        <v>2104</v>
      </c>
      <c r="I252" s="164"/>
      <c r="J252" s="206"/>
      <c r="K252" s="164"/>
      <c r="L252" s="58">
        <v>2</v>
      </c>
      <c r="M252" s="188">
        <v>10.9</v>
      </c>
      <c r="N252" s="169" t="s">
        <v>11</v>
      </c>
    </row>
    <row r="253" spans="1:14" x14ac:dyDescent="0.25">
      <c r="A253" s="63" t="s">
        <v>40</v>
      </c>
      <c r="B253" s="71" t="s">
        <v>2050</v>
      </c>
      <c r="C253" s="2">
        <v>4099854460111</v>
      </c>
      <c r="D253" s="84"/>
      <c r="E253" s="87"/>
      <c r="F253" s="14"/>
      <c r="G253" s="156" t="str">
        <f>HYPERLINK("https://ledvance.com/pt/product-datasheet/365217/343699","Ficha Técnica")</f>
        <v>Ficha Técnica</v>
      </c>
      <c r="H253" s="58" t="s">
        <v>2104</v>
      </c>
      <c r="I253" s="164"/>
      <c r="J253" s="206"/>
      <c r="K253" s="164"/>
      <c r="L253" s="58">
        <v>2</v>
      </c>
      <c r="M253" s="188">
        <v>10.9</v>
      </c>
      <c r="N253" s="169" t="s">
        <v>11</v>
      </c>
    </row>
    <row r="254" spans="1:14" x14ac:dyDescent="0.25">
      <c r="A254" s="63" t="s">
        <v>40</v>
      </c>
      <c r="B254" s="71" t="s">
        <v>2051</v>
      </c>
      <c r="C254" s="2">
        <v>4099854460029</v>
      </c>
      <c r="D254" s="84"/>
      <c r="E254" s="87"/>
      <c r="F254" s="14"/>
      <c r="G254" s="156" t="str">
        <f>HYPERLINK("https://ledvance.com/pt/product-datasheet/365217/343691","Ficha Técnica")</f>
        <v>Ficha Técnica</v>
      </c>
      <c r="H254" s="58" t="s">
        <v>2104</v>
      </c>
      <c r="I254" s="164"/>
      <c r="J254" s="206"/>
      <c r="K254" s="164"/>
      <c r="L254" s="58">
        <v>2</v>
      </c>
      <c r="M254" s="188">
        <v>10.9</v>
      </c>
      <c r="N254" s="169" t="s">
        <v>11</v>
      </c>
    </row>
    <row r="255" spans="1:14" x14ac:dyDescent="0.25">
      <c r="A255" s="63" t="s">
        <v>40</v>
      </c>
      <c r="B255" s="71" t="s">
        <v>2052</v>
      </c>
      <c r="C255" s="2">
        <v>4099854460258</v>
      </c>
      <c r="D255" s="84"/>
      <c r="E255" s="87"/>
      <c r="F255" s="14"/>
      <c r="G255" s="156" t="str">
        <f>HYPERLINK("https://ledvance.com/pt/product-datasheet/365217/343707","Ficha Técnica")</f>
        <v>Ficha Técnica</v>
      </c>
      <c r="H255" s="58" t="s">
        <v>2104</v>
      </c>
      <c r="I255" s="164"/>
      <c r="J255" s="206"/>
      <c r="K255" s="164"/>
      <c r="L255" s="58">
        <v>2</v>
      </c>
      <c r="M255" s="188">
        <v>15.7</v>
      </c>
      <c r="N255" s="169" t="s">
        <v>11</v>
      </c>
    </row>
    <row r="256" spans="1:14" x14ac:dyDescent="0.25">
      <c r="A256" s="63" t="s">
        <v>40</v>
      </c>
      <c r="B256" s="71" t="s">
        <v>2053</v>
      </c>
      <c r="C256" s="2">
        <v>4099854460289</v>
      </c>
      <c r="D256" s="84"/>
      <c r="E256" s="87"/>
      <c r="F256" s="14"/>
      <c r="G256" s="156" t="str">
        <f>HYPERLINK("https://ledvance.com/pt/product-datasheet/365217/343711","Ficha Técnica")</f>
        <v>Ficha Técnica</v>
      </c>
      <c r="H256" s="58" t="s">
        <v>2104</v>
      </c>
      <c r="I256" s="164"/>
      <c r="J256" s="206"/>
      <c r="K256" s="164"/>
      <c r="L256" s="58">
        <v>2</v>
      </c>
      <c r="M256" s="188">
        <v>15.7</v>
      </c>
      <c r="N256" s="169" t="s">
        <v>11</v>
      </c>
    </row>
    <row r="257" spans="1:14" x14ac:dyDescent="0.25">
      <c r="A257" s="63" t="s">
        <v>40</v>
      </c>
      <c r="B257" s="71" t="s">
        <v>2054</v>
      </c>
      <c r="C257" s="2">
        <v>4099854460203</v>
      </c>
      <c r="D257" s="84"/>
      <c r="E257" s="87"/>
      <c r="F257" s="14"/>
      <c r="G257" s="156" t="str">
        <f>HYPERLINK("https://ledvance.com/pt/product-datasheet/365217/343703","Ficha Técnica")</f>
        <v>Ficha Técnica</v>
      </c>
      <c r="H257" s="58" t="s">
        <v>2104</v>
      </c>
      <c r="I257" s="164"/>
      <c r="J257" s="206"/>
      <c r="K257" s="164"/>
      <c r="L257" s="58">
        <v>2</v>
      </c>
      <c r="M257" s="188">
        <v>15.7</v>
      </c>
      <c r="N257" s="169" t="s">
        <v>11</v>
      </c>
    </row>
    <row r="258" spans="1:14" x14ac:dyDescent="0.25">
      <c r="A258" s="63" t="s">
        <v>103</v>
      </c>
      <c r="B258" s="71" t="s">
        <v>104</v>
      </c>
      <c r="C258" s="2">
        <v>4099854089558</v>
      </c>
      <c r="D258" s="84"/>
      <c r="E258" s="85"/>
      <c r="F258" s="16"/>
      <c r="G258" s="156" t="str">
        <f>HYPERLINK("https://ledvance.com/pt/product-datasheet/225878/246489","Ficha Técnica")</f>
        <v>Ficha Técnica</v>
      </c>
      <c r="H258" s="15">
        <v>4</v>
      </c>
      <c r="I258" s="163"/>
      <c r="J258" s="15">
        <v>8</v>
      </c>
      <c r="K258" s="163" t="s">
        <v>46</v>
      </c>
      <c r="L258" s="15">
        <v>2</v>
      </c>
      <c r="M258" s="188">
        <v>80.8</v>
      </c>
      <c r="N258" s="169" t="s">
        <v>11</v>
      </c>
    </row>
    <row r="259" spans="1:14" x14ac:dyDescent="0.25">
      <c r="A259" s="66" t="s">
        <v>8</v>
      </c>
      <c r="B259" s="69" t="s">
        <v>105</v>
      </c>
      <c r="C259" s="51"/>
      <c r="D259" s="65"/>
      <c r="E259" s="86"/>
      <c r="F259" s="12"/>
      <c r="G259" s="157"/>
      <c r="H259" s="12"/>
      <c r="I259" s="62"/>
      <c r="J259" s="27"/>
      <c r="K259" s="62"/>
      <c r="L259" s="12"/>
      <c r="M259" s="191"/>
      <c r="N259" s="65"/>
    </row>
    <row r="260" spans="1:14" x14ac:dyDescent="0.25">
      <c r="A260" s="63" t="s">
        <v>8</v>
      </c>
      <c r="B260" s="71" t="s">
        <v>2350</v>
      </c>
      <c r="C260" s="2">
        <v>4058075607415</v>
      </c>
      <c r="D260" s="84"/>
      <c r="E260" s="85"/>
      <c r="F260" s="16"/>
      <c r="G260" s="156" t="str">
        <f>HYPERLINK("https://ledvance.com/pt/product-datasheet/192188/142640","Ficha Técnica")</f>
        <v>Ficha Técnica</v>
      </c>
      <c r="H260" s="15">
        <v>6</v>
      </c>
      <c r="I260" s="163">
        <v>575</v>
      </c>
      <c r="J260" s="15" t="s">
        <v>1682</v>
      </c>
      <c r="K260" s="163" t="s">
        <v>46</v>
      </c>
      <c r="L260" s="15">
        <v>5</v>
      </c>
      <c r="M260" s="188">
        <v>14.2</v>
      </c>
      <c r="N260" s="169" t="s">
        <v>11</v>
      </c>
    </row>
    <row r="261" spans="1:14" x14ac:dyDescent="0.25">
      <c r="A261" s="63" t="s">
        <v>8</v>
      </c>
      <c r="B261" s="71" t="s">
        <v>2351</v>
      </c>
      <c r="C261" s="2">
        <v>4058075607439</v>
      </c>
      <c r="D261" s="84"/>
      <c r="E261" s="85"/>
      <c r="F261" s="16"/>
      <c r="G261" s="156" t="str">
        <f>HYPERLINK("https://ledvance.com/pt/product-datasheet/192188/142643","Ficha Técnica")</f>
        <v>Ficha Técnica</v>
      </c>
      <c r="H261" s="15">
        <v>6</v>
      </c>
      <c r="I261" s="163">
        <v>575</v>
      </c>
      <c r="J261" s="15" t="s">
        <v>1682</v>
      </c>
      <c r="K261" s="163" t="s">
        <v>46</v>
      </c>
      <c r="L261" s="15">
        <v>5</v>
      </c>
      <c r="M261" s="188">
        <v>14.2</v>
      </c>
      <c r="N261" s="169" t="s">
        <v>11</v>
      </c>
    </row>
    <row r="262" spans="1:14" x14ac:dyDescent="0.25">
      <c r="A262" s="66" t="s">
        <v>8</v>
      </c>
      <c r="B262" s="69" t="s">
        <v>106</v>
      </c>
      <c r="C262" s="51"/>
      <c r="D262" s="65"/>
      <c r="E262" s="86"/>
      <c r="F262" s="12"/>
      <c r="G262" s="157"/>
      <c r="H262" s="12"/>
      <c r="I262" s="62"/>
      <c r="J262" s="27"/>
      <c r="K262" s="62"/>
      <c r="L262" s="12"/>
      <c r="M262" s="191"/>
      <c r="N262" s="65"/>
    </row>
    <row r="263" spans="1:14" x14ac:dyDescent="0.25">
      <c r="A263" s="63" t="s">
        <v>8</v>
      </c>
      <c r="B263" s="71" t="s">
        <v>107</v>
      </c>
      <c r="C263" s="2">
        <v>4058075113442</v>
      </c>
      <c r="D263" s="84"/>
      <c r="E263" s="85"/>
      <c r="F263" s="16"/>
      <c r="G263" s="156" t="str">
        <f>HYPERLINK("https://ledvance.com/pt/product-datasheet/8546/138809","Ficha Técnica")</f>
        <v>Ficha Técnica</v>
      </c>
      <c r="H263" s="15">
        <v>4</v>
      </c>
      <c r="I263" s="163">
        <v>1750</v>
      </c>
      <c r="J263" s="15">
        <v>25</v>
      </c>
      <c r="K263" s="163" t="s">
        <v>46</v>
      </c>
      <c r="L263" s="15">
        <v>5</v>
      </c>
      <c r="M263" s="188">
        <v>124</v>
      </c>
      <c r="N263" s="169" t="s">
        <v>11</v>
      </c>
    </row>
    <row r="264" spans="1:14" x14ac:dyDescent="0.25">
      <c r="A264" s="63" t="s">
        <v>8</v>
      </c>
      <c r="B264" s="71" t="s">
        <v>108</v>
      </c>
      <c r="C264" s="2">
        <v>4058075113466</v>
      </c>
      <c r="D264" s="84"/>
      <c r="E264" s="85"/>
      <c r="F264" s="16"/>
      <c r="G264" s="156" t="str">
        <f>HYPERLINK("https://ledvance.com/pt/product-datasheet/8546/138813","Ficha Técnica")</f>
        <v>Ficha Técnica</v>
      </c>
      <c r="H264" s="15">
        <v>4</v>
      </c>
      <c r="I264" s="163">
        <v>1900</v>
      </c>
      <c r="J264" s="15">
        <v>25</v>
      </c>
      <c r="K264" s="163" t="s">
        <v>46</v>
      </c>
      <c r="L264" s="15">
        <v>5</v>
      </c>
      <c r="M264" s="188">
        <v>124</v>
      </c>
      <c r="N264" s="169" t="s">
        <v>11</v>
      </c>
    </row>
    <row r="265" spans="1:14" x14ac:dyDescent="0.25">
      <c r="A265" s="63" t="s">
        <v>8</v>
      </c>
      <c r="B265" s="71" t="s">
        <v>109</v>
      </c>
      <c r="C265" s="2">
        <v>4058075113480</v>
      </c>
      <c r="D265" s="84"/>
      <c r="E265" s="85"/>
      <c r="F265" s="16"/>
      <c r="G265" s="156" t="str">
        <f>HYPERLINK("https://ledvance.com/pt/product-datasheet/8547/138817","Ficha Técnica")</f>
        <v>Ficha Técnica</v>
      </c>
      <c r="H265" s="15">
        <v>4</v>
      </c>
      <c r="I265" s="163">
        <v>2660</v>
      </c>
      <c r="J265" s="15">
        <v>35</v>
      </c>
      <c r="K265" s="163" t="s">
        <v>46</v>
      </c>
      <c r="L265" s="15">
        <v>5</v>
      </c>
      <c r="M265" s="188">
        <v>147.80000000000001</v>
      </c>
      <c r="N265" s="169" t="s">
        <v>11</v>
      </c>
    </row>
    <row r="266" spans="1:14" x14ac:dyDescent="0.25">
      <c r="A266" s="63" t="s">
        <v>8</v>
      </c>
      <c r="B266" s="71" t="s">
        <v>110</v>
      </c>
      <c r="C266" s="2">
        <v>4058075113503</v>
      </c>
      <c r="D266" s="84"/>
      <c r="E266" s="85"/>
      <c r="F266" s="16"/>
      <c r="G266" s="156" t="str">
        <f>HYPERLINK("https://ledvance.com/pt/product-datasheet/8547/138821","Ficha Técnica")</f>
        <v>Ficha Técnica</v>
      </c>
      <c r="H266" s="15">
        <v>4</v>
      </c>
      <c r="I266" s="163">
        <v>2800</v>
      </c>
      <c r="J266" s="15">
        <v>35</v>
      </c>
      <c r="K266" s="163" t="s">
        <v>46</v>
      </c>
      <c r="L266" s="15">
        <v>5</v>
      </c>
      <c r="M266" s="188">
        <v>147.80000000000001</v>
      </c>
      <c r="N266" s="169" t="s">
        <v>11</v>
      </c>
    </row>
    <row r="267" spans="1:14" x14ac:dyDescent="0.25">
      <c r="A267" s="63" t="s">
        <v>8</v>
      </c>
      <c r="B267" s="71" t="s">
        <v>111</v>
      </c>
      <c r="C267" s="2">
        <v>4058075113527</v>
      </c>
      <c r="D267" s="84"/>
      <c r="E267" s="85"/>
      <c r="F267" s="16"/>
      <c r="G267" s="156" t="str">
        <f>HYPERLINK("https://ledvance.com/pt/product-datasheet/8548/138825","Ficha Técnica")</f>
        <v>Ficha Técnica</v>
      </c>
      <c r="H267" s="15">
        <v>4</v>
      </c>
      <c r="I267" s="163">
        <v>4000</v>
      </c>
      <c r="J267" s="15">
        <v>55</v>
      </c>
      <c r="K267" s="163" t="s">
        <v>46</v>
      </c>
      <c r="L267" s="15">
        <v>5</v>
      </c>
      <c r="M267" s="188">
        <v>194.6</v>
      </c>
      <c r="N267" s="169" t="s">
        <v>11</v>
      </c>
    </row>
    <row r="268" spans="1:14" x14ac:dyDescent="0.25">
      <c r="A268" s="63" t="s">
        <v>8</v>
      </c>
      <c r="B268" s="71" t="s">
        <v>112</v>
      </c>
      <c r="C268" s="2">
        <v>4058075113541</v>
      </c>
      <c r="D268" s="84"/>
      <c r="E268" s="85"/>
      <c r="F268" s="16"/>
      <c r="G268" s="156" t="str">
        <f>HYPERLINK("https://ledvance.com/pt/product-datasheet/8548/138829","Ficha Técnica")</f>
        <v>Ficha Técnica</v>
      </c>
      <c r="H268" s="15">
        <v>4</v>
      </c>
      <c r="I268" s="163">
        <v>4200</v>
      </c>
      <c r="J268" s="15">
        <v>55</v>
      </c>
      <c r="K268" s="163" t="s">
        <v>46</v>
      </c>
      <c r="L268" s="15">
        <v>5</v>
      </c>
      <c r="M268" s="188">
        <v>194.6</v>
      </c>
      <c r="N268" s="169" t="s">
        <v>11</v>
      </c>
    </row>
    <row r="269" spans="1:14" x14ac:dyDescent="0.25">
      <c r="A269" s="63" t="s">
        <v>8</v>
      </c>
      <c r="B269" s="71" t="s">
        <v>113</v>
      </c>
      <c r="C269" s="2">
        <v>4058075113565</v>
      </c>
      <c r="D269" s="84"/>
      <c r="E269" s="85"/>
      <c r="F269" s="16"/>
      <c r="G269" s="156" t="str">
        <f>HYPERLINK("https://ledvance.com/pt/product-datasheet/8546/138833","Ficha Técnica")</f>
        <v>Ficha Técnica</v>
      </c>
      <c r="H269" s="15">
        <v>4</v>
      </c>
      <c r="I269" s="163">
        <v>1750</v>
      </c>
      <c r="J269" s="15">
        <v>25</v>
      </c>
      <c r="K269" s="163" t="s">
        <v>46</v>
      </c>
      <c r="L269" s="15">
        <v>5</v>
      </c>
      <c r="M269" s="188">
        <v>124</v>
      </c>
      <c r="N269" s="169" t="s">
        <v>11</v>
      </c>
    </row>
    <row r="270" spans="1:14" x14ac:dyDescent="0.25">
      <c r="A270" s="63" t="s">
        <v>8</v>
      </c>
      <c r="B270" s="71" t="s">
        <v>114</v>
      </c>
      <c r="C270" s="2">
        <v>4058075113589</v>
      </c>
      <c r="D270" s="84"/>
      <c r="E270" s="85"/>
      <c r="F270" s="16"/>
      <c r="G270" s="156" t="str">
        <f>HYPERLINK("https://ledvance.com/pt/product-datasheet/8546/138837","Ficha Técnica")</f>
        <v>Ficha Técnica</v>
      </c>
      <c r="H270" s="15">
        <v>4</v>
      </c>
      <c r="I270" s="163">
        <v>1900</v>
      </c>
      <c r="J270" s="15">
        <v>25</v>
      </c>
      <c r="K270" s="163" t="s">
        <v>46</v>
      </c>
      <c r="L270" s="15">
        <v>5</v>
      </c>
      <c r="M270" s="188">
        <v>124</v>
      </c>
      <c r="N270" s="169" t="s">
        <v>11</v>
      </c>
    </row>
    <row r="271" spans="1:14" x14ac:dyDescent="0.25">
      <c r="A271" s="63" t="s">
        <v>8</v>
      </c>
      <c r="B271" s="71" t="s">
        <v>115</v>
      </c>
      <c r="C271" s="2">
        <v>4058075113602</v>
      </c>
      <c r="D271" s="84"/>
      <c r="E271" s="85"/>
      <c r="F271" s="16"/>
      <c r="G271" s="156" t="str">
        <f>HYPERLINK("https://ledvance.com/pt/product-datasheet/8547/138841","Ficha Técnica")</f>
        <v>Ficha Técnica</v>
      </c>
      <c r="H271" s="15">
        <v>4</v>
      </c>
      <c r="I271" s="163">
        <v>2660</v>
      </c>
      <c r="J271" s="15">
        <v>35</v>
      </c>
      <c r="K271" s="163" t="s">
        <v>46</v>
      </c>
      <c r="L271" s="15">
        <v>5</v>
      </c>
      <c r="M271" s="188">
        <v>147.80000000000001</v>
      </c>
      <c r="N271" s="169" t="s">
        <v>11</v>
      </c>
    </row>
    <row r="272" spans="1:14" x14ac:dyDescent="0.25">
      <c r="A272" s="63" t="s">
        <v>8</v>
      </c>
      <c r="B272" s="71" t="s">
        <v>116</v>
      </c>
      <c r="C272" s="2">
        <v>4058075113626</v>
      </c>
      <c r="D272" s="84"/>
      <c r="E272" s="85"/>
      <c r="F272" s="16"/>
      <c r="G272" s="156" t="str">
        <f>HYPERLINK("https://ledvance.com/pt/product-datasheet/8547/138845","Ficha Técnica")</f>
        <v>Ficha Técnica</v>
      </c>
      <c r="H272" s="15">
        <v>4</v>
      </c>
      <c r="I272" s="163">
        <v>2800</v>
      </c>
      <c r="J272" s="15">
        <v>35</v>
      </c>
      <c r="K272" s="163" t="s">
        <v>46</v>
      </c>
      <c r="L272" s="15">
        <v>5</v>
      </c>
      <c r="M272" s="188">
        <v>147.80000000000001</v>
      </c>
      <c r="N272" s="169" t="s">
        <v>11</v>
      </c>
    </row>
    <row r="273" spans="1:14" x14ac:dyDescent="0.25">
      <c r="A273" s="63" t="s">
        <v>8</v>
      </c>
      <c r="B273" s="71" t="s">
        <v>117</v>
      </c>
      <c r="C273" s="2">
        <v>4058075113640</v>
      </c>
      <c r="D273" s="84"/>
      <c r="E273" s="85"/>
      <c r="F273" s="16"/>
      <c r="G273" s="156" t="str">
        <f>HYPERLINK("https://ledvance.com/pt/product-datasheet/8548/138849","Ficha Técnica")</f>
        <v>Ficha Técnica</v>
      </c>
      <c r="H273" s="15">
        <v>4</v>
      </c>
      <c r="I273" s="163">
        <v>4000</v>
      </c>
      <c r="J273" s="15">
        <v>55</v>
      </c>
      <c r="K273" s="163" t="s">
        <v>46</v>
      </c>
      <c r="L273" s="15">
        <v>5</v>
      </c>
      <c r="M273" s="188">
        <v>194.6</v>
      </c>
      <c r="N273" s="169" t="s">
        <v>11</v>
      </c>
    </row>
    <row r="274" spans="1:14" x14ac:dyDescent="0.25">
      <c r="A274" s="63" t="s">
        <v>8</v>
      </c>
      <c r="B274" s="71" t="s">
        <v>118</v>
      </c>
      <c r="C274" s="2">
        <v>4058075113664</v>
      </c>
      <c r="D274" s="84"/>
      <c r="E274" s="85"/>
      <c r="F274" s="16"/>
      <c r="G274" s="156" t="str">
        <f>HYPERLINK("https://ledvance.com/pt/product-datasheet/8548/138853","Ficha Técnica")</f>
        <v>Ficha Técnica</v>
      </c>
      <c r="H274" s="15">
        <v>4</v>
      </c>
      <c r="I274" s="163">
        <v>4200</v>
      </c>
      <c r="J274" s="15">
        <v>55</v>
      </c>
      <c r="K274" s="163" t="s">
        <v>46</v>
      </c>
      <c r="L274" s="15">
        <v>5</v>
      </c>
      <c r="M274" s="188">
        <v>194.6</v>
      </c>
      <c r="N274" s="169" t="s">
        <v>11</v>
      </c>
    </row>
    <row r="275" spans="1:14" x14ac:dyDescent="0.25">
      <c r="A275" s="63" t="s">
        <v>8</v>
      </c>
      <c r="B275" s="71" t="s">
        <v>119</v>
      </c>
      <c r="C275" s="2">
        <v>4058075113688</v>
      </c>
      <c r="D275" s="84"/>
      <c r="E275" s="85"/>
      <c r="F275" s="16"/>
      <c r="G275" s="156" t="str">
        <f>HYPERLINK("https://ledvance.com/pt/product-datasheet/8546/138857","Ficha Técnica")</f>
        <v>Ficha Técnica</v>
      </c>
      <c r="H275" s="15">
        <v>4</v>
      </c>
      <c r="I275" s="163">
        <v>1750</v>
      </c>
      <c r="J275" s="15">
        <v>25</v>
      </c>
      <c r="K275" s="163" t="s">
        <v>46</v>
      </c>
      <c r="L275" s="15">
        <v>5</v>
      </c>
      <c r="M275" s="188">
        <v>124</v>
      </c>
      <c r="N275" s="169" t="s">
        <v>11</v>
      </c>
    </row>
    <row r="276" spans="1:14" x14ac:dyDescent="0.25">
      <c r="A276" s="63" t="s">
        <v>8</v>
      </c>
      <c r="B276" s="71" t="s">
        <v>120</v>
      </c>
      <c r="C276" s="2">
        <v>4058075113701</v>
      </c>
      <c r="D276" s="84"/>
      <c r="E276" s="85"/>
      <c r="F276" s="16"/>
      <c r="G276" s="156" t="str">
        <f>HYPERLINK("https://ledvance.com/pt/product-datasheet/8546/138861","Ficha Técnica")</f>
        <v>Ficha Técnica</v>
      </c>
      <c r="H276" s="15">
        <v>4</v>
      </c>
      <c r="I276" s="163">
        <v>1900</v>
      </c>
      <c r="J276" s="15">
        <v>25</v>
      </c>
      <c r="K276" s="163" t="s">
        <v>46</v>
      </c>
      <c r="L276" s="15">
        <v>5</v>
      </c>
      <c r="M276" s="188">
        <v>124</v>
      </c>
      <c r="N276" s="169" t="s">
        <v>11</v>
      </c>
    </row>
    <row r="277" spans="1:14" x14ac:dyDescent="0.25">
      <c r="A277" s="63" t="s">
        <v>8</v>
      </c>
      <c r="B277" s="71" t="s">
        <v>121</v>
      </c>
      <c r="C277" s="2">
        <v>4058075113725</v>
      </c>
      <c r="D277" s="84"/>
      <c r="E277" s="85"/>
      <c r="F277" s="16"/>
      <c r="G277" s="156" t="str">
        <f>HYPERLINK("https://ledvance.com/pt/product-datasheet/8547/138865","Ficha Técnica")</f>
        <v>Ficha Técnica</v>
      </c>
      <c r="H277" s="15">
        <v>4</v>
      </c>
      <c r="I277" s="163">
        <v>2660</v>
      </c>
      <c r="J277" s="15">
        <v>35</v>
      </c>
      <c r="K277" s="163" t="s">
        <v>46</v>
      </c>
      <c r="L277" s="15">
        <v>5</v>
      </c>
      <c r="M277" s="188">
        <v>147.80000000000001</v>
      </c>
      <c r="N277" s="169" t="s">
        <v>11</v>
      </c>
    </row>
    <row r="278" spans="1:14" x14ac:dyDescent="0.25">
      <c r="A278" s="63" t="s">
        <v>8</v>
      </c>
      <c r="B278" s="71" t="s">
        <v>122</v>
      </c>
      <c r="C278" s="2">
        <v>4058075113749</v>
      </c>
      <c r="D278" s="84"/>
      <c r="E278" s="85"/>
      <c r="F278" s="16"/>
      <c r="G278" s="156" t="str">
        <f>HYPERLINK("https://ledvance.com/pt/product-datasheet/8547/138869","Ficha Técnica")</f>
        <v>Ficha Técnica</v>
      </c>
      <c r="H278" s="15">
        <v>4</v>
      </c>
      <c r="I278" s="163">
        <v>2800</v>
      </c>
      <c r="J278" s="15">
        <v>35</v>
      </c>
      <c r="K278" s="163" t="s">
        <v>46</v>
      </c>
      <c r="L278" s="15">
        <v>5</v>
      </c>
      <c r="M278" s="188">
        <v>147.80000000000001</v>
      </c>
      <c r="N278" s="169" t="s">
        <v>11</v>
      </c>
    </row>
    <row r="279" spans="1:14" x14ac:dyDescent="0.25">
      <c r="A279" s="63" t="s">
        <v>8</v>
      </c>
      <c r="B279" s="71" t="s">
        <v>123</v>
      </c>
      <c r="C279" s="2">
        <v>4058075113763</v>
      </c>
      <c r="D279" s="84"/>
      <c r="E279" s="85"/>
      <c r="F279" s="16"/>
      <c r="G279" s="156" t="str">
        <f>HYPERLINK("https://ledvance.com/pt/product-datasheet/8548/138873","Ficha Técnica")</f>
        <v>Ficha Técnica</v>
      </c>
      <c r="H279" s="15">
        <v>4</v>
      </c>
      <c r="I279" s="163">
        <v>4000</v>
      </c>
      <c r="J279" s="15">
        <v>55</v>
      </c>
      <c r="K279" s="163" t="s">
        <v>46</v>
      </c>
      <c r="L279" s="15">
        <v>5</v>
      </c>
      <c r="M279" s="188">
        <v>194.6</v>
      </c>
      <c r="N279" s="169" t="s">
        <v>11</v>
      </c>
    </row>
    <row r="280" spans="1:14" x14ac:dyDescent="0.25">
      <c r="A280" s="63" t="s">
        <v>8</v>
      </c>
      <c r="B280" s="71" t="s">
        <v>124</v>
      </c>
      <c r="C280" s="2">
        <v>4058075113787</v>
      </c>
      <c r="D280" s="84"/>
      <c r="E280" s="85"/>
      <c r="F280" s="16"/>
      <c r="G280" s="156" t="str">
        <f>HYPERLINK("https://ledvance.com/pt/product-datasheet/8548/138877","Ficha Técnica")</f>
        <v>Ficha Técnica</v>
      </c>
      <c r="H280" s="15">
        <v>4</v>
      </c>
      <c r="I280" s="163">
        <v>4200</v>
      </c>
      <c r="J280" s="15">
        <v>55</v>
      </c>
      <c r="K280" s="163" t="s">
        <v>46</v>
      </c>
      <c r="L280" s="15">
        <v>5</v>
      </c>
      <c r="M280" s="188">
        <v>194.6</v>
      </c>
      <c r="N280" s="169" t="s">
        <v>11</v>
      </c>
    </row>
    <row r="281" spans="1:14" x14ac:dyDescent="0.25">
      <c r="A281" s="66" t="s">
        <v>40</v>
      </c>
      <c r="B281" s="69" t="s">
        <v>125</v>
      </c>
      <c r="C281" s="51"/>
      <c r="D281" s="65"/>
      <c r="E281" s="86"/>
      <c r="F281" s="12"/>
      <c r="G281" s="157"/>
      <c r="H281" s="12"/>
      <c r="I281" s="62"/>
      <c r="J281" s="27"/>
      <c r="K281" s="62"/>
      <c r="L281" s="12"/>
      <c r="M281" s="191"/>
      <c r="N281" s="65"/>
    </row>
    <row r="282" spans="1:14" x14ac:dyDescent="0.25">
      <c r="A282" s="63" t="s">
        <v>40</v>
      </c>
      <c r="B282" s="71" t="s">
        <v>126</v>
      </c>
      <c r="C282" s="2">
        <v>4058075113800</v>
      </c>
      <c r="D282" s="84"/>
      <c r="E282" s="85"/>
      <c r="F282" s="16"/>
      <c r="G282" s="156" t="str">
        <f>HYPERLINK("https://ledvance.com/pt/product-datasheet/8549/138881","Ficha Técnica")</f>
        <v>Ficha Técnica</v>
      </c>
      <c r="H282" s="15">
        <v>4</v>
      </c>
      <c r="I282" s="163"/>
      <c r="J282" s="15"/>
      <c r="K282" s="163"/>
      <c r="L282" s="15">
        <v>2</v>
      </c>
      <c r="M282" s="188">
        <v>13</v>
      </c>
      <c r="N282" s="169" t="s">
        <v>11</v>
      </c>
    </row>
    <row r="283" spans="1:14" x14ac:dyDescent="0.25">
      <c r="A283" s="63" t="s">
        <v>40</v>
      </c>
      <c r="B283" s="71" t="s">
        <v>127</v>
      </c>
      <c r="C283" s="2">
        <v>4058075113824</v>
      </c>
      <c r="D283" s="84"/>
      <c r="E283" s="85"/>
      <c r="F283" s="16"/>
      <c r="G283" s="156" t="str">
        <f>HYPERLINK("https://ledvance.com/pt/product-datasheet/8549/138885","Ficha Técnica")</f>
        <v>Ficha Técnica</v>
      </c>
      <c r="H283" s="15">
        <v>4</v>
      </c>
      <c r="I283" s="163"/>
      <c r="J283" s="15"/>
      <c r="K283" s="163"/>
      <c r="L283" s="15">
        <v>2</v>
      </c>
      <c r="M283" s="188">
        <v>13</v>
      </c>
      <c r="N283" s="169" t="s">
        <v>11</v>
      </c>
    </row>
    <row r="284" spans="1:14" x14ac:dyDescent="0.25">
      <c r="A284" s="63" t="s">
        <v>40</v>
      </c>
      <c r="B284" s="71" t="s">
        <v>128</v>
      </c>
      <c r="C284" s="2">
        <v>4058075113848</v>
      </c>
      <c r="D284" s="84"/>
      <c r="E284" s="85"/>
      <c r="F284" s="16"/>
      <c r="G284" s="156" t="str">
        <f>HYPERLINK("https://ledvance.com/pt/product-datasheet/8549/138889","Ficha Técnica")</f>
        <v>Ficha Técnica</v>
      </c>
      <c r="H284" s="15">
        <v>4</v>
      </c>
      <c r="I284" s="163"/>
      <c r="J284" s="15"/>
      <c r="K284" s="163"/>
      <c r="L284" s="15">
        <v>2</v>
      </c>
      <c r="M284" s="188">
        <v>14.4</v>
      </c>
      <c r="N284" s="169" t="s">
        <v>11</v>
      </c>
    </row>
    <row r="285" spans="1:14" x14ac:dyDescent="0.25">
      <c r="A285" s="63" t="s">
        <v>40</v>
      </c>
      <c r="B285" s="71" t="s">
        <v>129</v>
      </c>
      <c r="C285" s="2">
        <v>4058075113862</v>
      </c>
      <c r="D285" s="84"/>
      <c r="E285" s="85"/>
      <c r="F285" s="16"/>
      <c r="G285" s="156" t="str">
        <f>HYPERLINK("https://ledvance.com/pt/product-datasheet/8549/138893","Ficha Técnica")</f>
        <v>Ficha Técnica</v>
      </c>
      <c r="H285" s="15">
        <v>4</v>
      </c>
      <c r="I285" s="163"/>
      <c r="J285" s="15"/>
      <c r="K285" s="163"/>
      <c r="L285" s="15">
        <v>2</v>
      </c>
      <c r="M285" s="188">
        <v>14.4</v>
      </c>
      <c r="N285" s="169" t="s">
        <v>11</v>
      </c>
    </row>
    <row r="286" spans="1:14" x14ac:dyDescent="0.25">
      <c r="A286" s="63" t="s">
        <v>40</v>
      </c>
      <c r="B286" s="71" t="s">
        <v>130</v>
      </c>
      <c r="C286" s="2">
        <v>4058075113886</v>
      </c>
      <c r="D286" s="84"/>
      <c r="E286" s="85"/>
      <c r="F286" s="16"/>
      <c r="G286" s="156" t="str">
        <f>HYPERLINK("https://ledvance.com/pt/product-datasheet/8549/138897","Ficha Técnica")</f>
        <v>Ficha Técnica</v>
      </c>
      <c r="H286" s="15">
        <v>4</v>
      </c>
      <c r="I286" s="163"/>
      <c r="J286" s="15"/>
      <c r="K286" s="163"/>
      <c r="L286" s="15">
        <v>2</v>
      </c>
      <c r="M286" s="188">
        <v>15.8</v>
      </c>
      <c r="N286" s="169" t="s">
        <v>11</v>
      </c>
    </row>
    <row r="287" spans="1:14" x14ac:dyDescent="0.25">
      <c r="A287" s="63" t="s">
        <v>40</v>
      </c>
      <c r="B287" s="71" t="s">
        <v>131</v>
      </c>
      <c r="C287" s="2">
        <v>4058075113909</v>
      </c>
      <c r="D287" s="84"/>
      <c r="E287" s="85"/>
      <c r="F287" s="16"/>
      <c r="G287" s="156" t="str">
        <f>HYPERLINK("https://ledvance.com/pt/product-datasheet/8549/138901","Ficha Técnica")</f>
        <v>Ficha Técnica</v>
      </c>
      <c r="H287" s="15">
        <v>4</v>
      </c>
      <c r="I287" s="163"/>
      <c r="J287" s="15"/>
      <c r="K287" s="163"/>
      <c r="L287" s="15">
        <v>2</v>
      </c>
      <c r="M287" s="188">
        <v>15.8</v>
      </c>
      <c r="N287" s="169" t="s">
        <v>11</v>
      </c>
    </row>
    <row r="288" spans="1:14" x14ac:dyDescent="0.25">
      <c r="A288" s="66" t="s">
        <v>8</v>
      </c>
      <c r="B288" s="69" t="s">
        <v>132</v>
      </c>
      <c r="C288" s="51"/>
      <c r="D288" s="65"/>
      <c r="E288" s="86"/>
      <c r="F288" s="12"/>
      <c r="G288" s="157"/>
      <c r="H288" s="12"/>
      <c r="I288" s="62"/>
      <c r="J288" s="27"/>
      <c r="K288" s="62"/>
      <c r="L288" s="12"/>
      <c r="M288" s="191"/>
      <c r="N288" s="65"/>
    </row>
    <row r="289" spans="1:14" x14ac:dyDescent="0.25">
      <c r="A289" s="63" t="s">
        <v>8</v>
      </c>
      <c r="B289" s="71" t="s">
        <v>133</v>
      </c>
      <c r="C289" s="2">
        <v>4058075335769</v>
      </c>
      <c r="D289" s="84"/>
      <c r="E289" s="85"/>
      <c r="F289" s="16"/>
      <c r="G289" s="156" t="str">
        <f>HYPERLINK("https://ledvance.com/pt/product-datasheet/8544/138059","Ficha Técnica")</f>
        <v>Ficha Técnica</v>
      </c>
      <c r="H289" s="15">
        <v>4</v>
      </c>
      <c r="I289" s="163">
        <v>1500</v>
      </c>
      <c r="J289" s="15">
        <v>25</v>
      </c>
      <c r="K289" s="163" t="s">
        <v>46</v>
      </c>
      <c r="L289" s="15">
        <v>5</v>
      </c>
      <c r="M289" s="188">
        <v>216.1</v>
      </c>
      <c r="N289" s="169" t="s">
        <v>11</v>
      </c>
    </row>
    <row r="290" spans="1:14" x14ac:dyDescent="0.25">
      <c r="A290" s="63" t="s">
        <v>8</v>
      </c>
      <c r="B290" s="71" t="s">
        <v>134</v>
      </c>
      <c r="C290" s="2">
        <v>4058075335783</v>
      </c>
      <c r="D290" s="84"/>
      <c r="E290" s="85"/>
      <c r="F290" s="16"/>
      <c r="G290" s="156" t="str">
        <f>HYPERLINK("https://ledvance.com/pt/product-datasheet/8544/138064","Ficha Técnica")</f>
        <v>Ficha Técnica</v>
      </c>
      <c r="H290" s="15">
        <v>4</v>
      </c>
      <c r="I290" s="163">
        <v>1500</v>
      </c>
      <c r="J290" s="15">
        <v>25</v>
      </c>
      <c r="K290" s="163" t="s">
        <v>46</v>
      </c>
      <c r="L290" s="15">
        <v>5</v>
      </c>
      <c r="M290" s="188">
        <v>216.1</v>
      </c>
      <c r="N290" s="169" t="s">
        <v>11</v>
      </c>
    </row>
    <row r="291" spans="1:14" x14ac:dyDescent="0.25">
      <c r="A291" s="63" t="s">
        <v>8</v>
      </c>
      <c r="B291" s="71" t="s">
        <v>135</v>
      </c>
      <c r="C291" s="2">
        <v>4058075335806</v>
      </c>
      <c r="D291" s="84"/>
      <c r="E291" s="85"/>
      <c r="F291" s="16"/>
      <c r="G291" s="156" t="str">
        <f>HYPERLINK("https://ledvance.com/pt/product-datasheet/8544/138069","Ficha Técnica")</f>
        <v>Ficha Técnica</v>
      </c>
      <c r="H291" s="15">
        <v>4</v>
      </c>
      <c r="I291" s="163">
        <v>1500</v>
      </c>
      <c r="J291" s="15">
        <v>25</v>
      </c>
      <c r="K291" s="163" t="s">
        <v>46</v>
      </c>
      <c r="L291" s="15">
        <v>5</v>
      </c>
      <c r="M291" s="188">
        <v>216.1</v>
      </c>
      <c r="N291" s="169" t="s">
        <v>11</v>
      </c>
    </row>
    <row r="292" spans="1:14" x14ac:dyDescent="0.25">
      <c r="A292" s="63" t="s">
        <v>8</v>
      </c>
      <c r="B292" s="71" t="s">
        <v>136</v>
      </c>
      <c r="C292" s="2">
        <v>4058075335820</v>
      </c>
      <c r="D292" s="84"/>
      <c r="E292" s="85"/>
      <c r="F292" s="16"/>
      <c r="G292" s="156" t="str">
        <f>HYPERLINK("https://ledvance.com/pt/product-datasheet/8544/138074","Ficha Técnica")</f>
        <v>Ficha Técnica</v>
      </c>
      <c r="H292" s="15">
        <v>4</v>
      </c>
      <c r="I292" s="163">
        <v>1500</v>
      </c>
      <c r="J292" s="15">
        <v>25</v>
      </c>
      <c r="K292" s="163" t="s">
        <v>46</v>
      </c>
      <c r="L292" s="15">
        <v>5</v>
      </c>
      <c r="M292" s="188">
        <v>216.1</v>
      </c>
      <c r="N292" s="169" t="s">
        <v>11</v>
      </c>
    </row>
    <row r="293" spans="1:14" x14ac:dyDescent="0.25">
      <c r="A293" s="66" t="s">
        <v>8</v>
      </c>
      <c r="B293" s="69" t="s">
        <v>137</v>
      </c>
      <c r="C293" s="51"/>
      <c r="D293" s="65"/>
      <c r="E293" s="86"/>
      <c r="F293" s="12"/>
      <c r="G293" s="157"/>
      <c r="H293" s="12"/>
      <c r="I293" s="62"/>
      <c r="J293" s="27"/>
      <c r="K293" s="62"/>
      <c r="L293" s="12"/>
      <c r="M293" s="191"/>
      <c r="N293" s="65"/>
    </row>
    <row r="294" spans="1:14" x14ac:dyDescent="0.25">
      <c r="A294" s="63" t="s">
        <v>8</v>
      </c>
      <c r="B294" s="71" t="s">
        <v>2352</v>
      </c>
      <c r="C294" s="2">
        <v>4058075062207</v>
      </c>
      <c r="D294" s="84"/>
      <c r="E294" s="85"/>
      <c r="F294" s="16"/>
      <c r="G294" s="156" t="str">
        <f>HYPERLINK("https://ledvance.com/pt/product-datasheet/8569/127359","Ficha Técnica")</f>
        <v>Ficha Técnica</v>
      </c>
      <c r="H294" s="15">
        <v>8</v>
      </c>
      <c r="I294" s="163">
        <v>1800</v>
      </c>
      <c r="J294" s="15">
        <v>24</v>
      </c>
      <c r="K294" s="163" t="s">
        <v>138</v>
      </c>
      <c r="L294" s="15">
        <v>5</v>
      </c>
      <c r="M294" s="188">
        <v>60.6</v>
      </c>
      <c r="N294" s="169" t="s">
        <v>11</v>
      </c>
    </row>
    <row r="295" spans="1:14" x14ac:dyDescent="0.25">
      <c r="A295" s="63" t="s">
        <v>8</v>
      </c>
      <c r="B295" s="71" t="s">
        <v>2353</v>
      </c>
      <c r="C295" s="2">
        <v>4058075062221</v>
      </c>
      <c r="D295" s="84"/>
      <c r="E295" s="85"/>
      <c r="F295" s="16"/>
      <c r="G295" s="156" t="str">
        <f>HYPERLINK("https://ledvance.com/pt/product-datasheet/8569/127364","Ficha Técnica")</f>
        <v>Ficha Técnica</v>
      </c>
      <c r="H295" s="15">
        <v>8</v>
      </c>
      <c r="I295" s="163">
        <v>1920</v>
      </c>
      <c r="J295" s="15">
        <v>24</v>
      </c>
      <c r="K295" s="163" t="s">
        <v>138</v>
      </c>
      <c r="L295" s="15">
        <v>5</v>
      </c>
      <c r="M295" s="188">
        <v>60.6</v>
      </c>
      <c r="N295" s="169" t="s">
        <v>11</v>
      </c>
    </row>
    <row r="296" spans="1:14" x14ac:dyDescent="0.25">
      <c r="A296" s="66" t="s">
        <v>8</v>
      </c>
      <c r="B296" s="69" t="s">
        <v>139</v>
      </c>
      <c r="C296" s="51"/>
      <c r="D296" s="65"/>
      <c r="E296" s="86"/>
      <c r="F296" s="12"/>
      <c r="G296" s="157"/>
      <c r="H296" s="12"/>
      <c r="I296" s="62"/>
      <c r="J296" s="27"/>
      <c r="K296" s="62"/>
      <c r="L296" s="12"/>
      <c r="M296" s="191"/>
      <c r="N296" s="65"/>
    </row>
    <row r="297" spans="1:14" x14ac:dyDescent="0.25">
      <c r="A297" s="63" t="s">
        <v>8</v>
      </c>
      <c r="B297" s="71" t="s">
        <v>2354</v>
      </c>
      <c r="C297" s="2">
        <v>4058075617865</v>
      </c>
      <c r="D297" s="84"/>
      <c r="E297" s="85"/>
      <c r="F297" s="16"/>
      <c r="G297" s="156" t="str">
        <f>HYPERLINK("https://ledvance.com/pt/product-datasheet/8574/153834","Ficha Técnica")</f>
        <v>Ficha Técnica</v>
      </c>
      <c r="H297" s="15">
        <v>5</v>
      </c>
      <c r="I297" s="163">
        <v>920</v>
      </c>
      <c r="J297" s="15">
        <v>13</v>
      </c>
      <c r="K297" s="163" t="s">
        <v>38</v>
      </c>
      <c r="L297" s="15">
        <v>3</v>
      </c>
      <c r="M297" s="188">
        <v>28.3</v>
      </c>
      <c r="N297" s="169" t="s">
        <v>11</v>
      </c>
    </row>
    <row r="298" spans="1:14" x14ac:dyDescent="0.25">
      <c r="A298" s="63" t="s">
        <v>8</v>
      </c>
      <c r="B298" s="71" t="s">
        <v>2355</v>
      </c>
      <c r="C298" s="2">
        <v>4058075617889</v>
      </c>
      <c r="D298" s="84"/>
      <c r="E298" s="85"/>
      <c r="F298" s="16"/>
      <c r="G298" s="156" t="str">
        <f>HYPERLINK("https://ledvance.com/pt/product-datasheet/8574/153837","Ficha Técnica")</f>
        <v>Ficha Técnica</v>
      </c>
      <c r="H298" s="15">
        <v>5</v>
      </c>
      <c r="I298" s="163">
        <v>960</v>
      </c>
      <c r="J298" s="15">
        <v>13</v>
      </c>
      <c r="K298" s="163" t="s">
        <v>38</v>
      </c>
      <c r="L298" s="15">
        <v>3</v>
      </c>
      <c r="M298" s="188">
        <v>28.3</v>
      </c>
      <c r="N298" s="169" t="s">
        <v>11</v>
      </c>
    </row>
    <row r="299" spans="1:14" x14ac:dyDescent="0.25">
      <c r="A299" s="63" t="s">
        <v>8</v>
      </c>
      <c r="B299" s="71" t="s">
        <v>2356</v>
      </c>
      <c r="C299" s="2">
        <v>4058075617940</v>
      </c>
      <c r="D299" s="84"/>
      <c r="E299" s="85"/>
      <c r="F299" s="16"/>
      <c r="G299" s="156" t="str">
        <f>HYPERLINK("https://ledvance.com/pt/product-datasheet/8575/153840","Ficha Técnica")</f>
        <v>Ficha Técnica</v>
      </c>
      <c r="H299" s="15">
        <v>5</v>
      </c>
      <c r="I299" s="163">
        <v>1440</v>
      </c>
      <c r="J299" s="15">
        <v>18</v>
      </c>
      <c r="K299" s="163" t="s">
        <v>38</v>
      </c>
      <c r="L299" s="15">
        <v>3</v>
      </c>
      <c r="M299" s="188">
        <v>36.4</v>
      </c>
      <c r="N299" s="169" t="s">
        <v>11</v>
      </c>
    </row>
    <row r="300" spans="1:14" x14ac:dyDescent="0.25">
      <c r="A300" s="63" t="s">
        <v>8</v>
      </c>
      <c r="B300" s="71" t="s">
        <v>2357</v>
      </c>
      <c r="C300" s="2">
        <v>4058075617964</v>
      </c>
      <c r="D300" s="84"/>
      <c r="E300" s="85"/>
      <c r="F300" s="16"/>
      <c r="G300" s="156" t="str">
        <f>HYPERLINK("https://ledvance.com/pt/product-datasheet/8575/153843","Ficha Técnica")</f>
        <v>Ficha Técnica</v>
      </c>
      <c r="H300" s="15">
        <v>5</v>
      </c>
      <c r="I300" s="163">
        <v>1440</v>
      </c>
      <c r="J300" s="15">
        <v>18</v>
      </c>
      <c r="K300" s="163" t="s">
        <v>38</v>
      </c>
      <c r="L300" s="15">
        <v>3</v>
      </c>
      <c r="M300" s="188">
        <v>36.4</v>
      </c>
      <c r="N300" s="169" t="s">
        <v>11</v>
      </c>
    </row>
    <row r="301" spans="1:14" x14ac:dyDescent="0.25">
      <c r="A301" s="63" t="s">
        <v>8</v>
      </c>
      <c r="B301" s="72" t="s">
        <v>2358</v>
      </c>
      <c r="C301" s="59">
        <v>4099854042072</v>
      </c>
      <c r="D301" s="90"/>
      <c r="E301" s="91"/>
      <c r="F301" s="16"/>
      <c r="G301" s="156" t="str">
        <f>HYPERLINK("https://ledvance.com/pt/product-datasheet/271779/234163","Ficha Técnica")</f>
        <v>Ficha Técnica</v>
      </c>
      <c r="H301" s="15">
        <v>5</v>
      </c>
      <c r="I301" s="163">
        <v>1440</v>
      </c>
      <c r="J301" s="15">
        <v>18</v>
      </c>
      <c r="K301" s="163" t="s">
        <v>38</v>
      </c>
      <c r="L301" s="15">
        <v>5</v>
      </c>
      <c r="M301" s="188">
        <v>45</v>
      </c>
      <c r="N301" s="169" t="s">
        <v>11</v>
      </c>
    </row>
    <row r="302" spans="1:14" x14ac:dyDescent="0.25">
      <c r="A302" s="63" t="s">
        <v>8</v>
      </c>
      <c r="B302" s="71" t="s">
        <v>2359</v>
      </c>
      <c r="C302" s="2">
        <v>4058075618022</v>
      </c>
      <c r="D302" s="84"/>
      <c r="E302" s="85"/>
      <c r="F302" s="16"/>
      <c r="G302" s="156" t="str">
        <f>HYPERLINK("https://ledvance.com/pt/product-datasheet/8576/153846","Ficha Técnica")</f>
        <v>Ficha Técnica</v>
      </c>
      <c r="H302" s="15">
        <v>5</v>
      </c>
      <c r="I302" s="163">
        <v>1920</v>
      </c>
      <c r="J302" s="15">
        <v>24</v>
      </c>
      <c r="K302" s="163" t="s">
        <v>38</v>
      </c>
      <c r="L302" s="15">
        <v>3</v>
      </c>
      <c r="M302" s="188">
        <v>43.8</v>
      </c>
      <c r="N302" s="169" t="s">
        <v>11</v>
      </c>
    </row>
    <row r="303" spans="1:14" x14ac:dyDescent="0.25">
      <c r="A303" s="63" t="s">
        <v>8</v>
      </c>
      <c r="B303" s="71" t="s">
        <v>2360</v>
      </c>
      <c r="C303" s="2">
        <v>4058075618046</v>
      </c>
      <c r="D303" s="84"/>
      <c r="E303" s="85"/>
      <c r="F303" s="16"/>
      <c r="G303" s="156" t="str">
        <f>HYPERLINK("https://ledvance.com/pt/product-datasheet/8576/153849","Ficha Técnica")</f>
        <v>Ficha Técnica</v>
      </c>
      <c r="H303" s="15">
        <v>5</v>
      </c>
      <c r="I303" s="163">
        <v>1920</v>
      </c>
      <c r="J303" s="15">
        <v>24</v>
      </c>
      <c r="K303" s="163" t="s">
        <v>38</v>
      </c>
      <c r="L303" s="15">
        <v>3</v>
      </c>
      <c r="M303" s="188">
        <v>43.8</v>
      </c>
      <c r="N303" s="169" t="s">
        <v>11</v>
      </c>
    </row>
    <row r="304" spans="1:14" x14ac:dyDescent="0.25">
      <c r="A304" s="63" t="s">
        <v>8</v>
      </c>
      <c r="B304" s="71" t="s">
        <v>2361</v>
      </c>
      <c r="C304" s="59">
        <v>4099854042119</v>
      </c>
      <c r="D304" s="90"/>
      <c r="E304" s="91"/>
      <c r="F304" s="16"/>
      <c r="G304" s="156" t="str">
        <f>HYPERLINK("https://ledvance.com/pt/product-datasheet/246673/234169","Ficha Técnica")</f>
        <v>Ficha Técnica</v>
      </c>
      <c r="H304" s="15">
        <v>5</v>
      </c>
      <c r="I304" s="163" t="s">
        <v>1683</v>
      </c>
      <c r="J304" s="15" t="s">
        <v>1684</v>
      </c>
      <c r="K304" s="163" t="s">
        <v>38</v>
      </c>
      <c r="L304" s="15">
        <v>5</v>
      </c>
      <c r="M304" s="188">
        <v>73</v>
      </c>
      <c r="N304" s="169" t="s">
        <v>11</v>
      </c>
    </row>
    <row r="305" spans="1:14" x14ac:dyDescent="0.25">
      <c r="A305" s="63" t="s">
        <v>8</v>
      </c>
      <c r="B305" s="71" t="s">
        <v>2362</v>
      </c>
      <c r="C305" s="59">
        <v>4099854042133</v>
      </c>
      <c r="D305" s="90"/>
      <c r="E305" s="91"/>
      <c r="F305" s="16"/>
      <c r="G305" s="156" t="str">
        <f>HYPERLINK("https://ledvance.com/pt/product-datasheet/246673/234172","Ficha Técnica")</f>
        <v>Ficha Técnica</v>
      </c>
      <c r="H305" s="15">
        <v>5</v>
      </c>
      <c r="I305" s="163" t="s">
        <v>1683</v>
      </c>
      <c r="J305" s="15" t="s">
        <v>1684</v>
      </c>
      <c r="K305" s="163" t="s">
        <v>38</v>
      </c>
      <c r="L305" s="15">
        <v>5</v>
      </c>
      <c r="M305" s="188">
        <v>73</v>
      </c>
      <c r="N305" s="169" t="s">
        <v>11</v>
      </c>
    </row>
    <row r="306" spans="1:14" x14ac:dyDescent="0.25">
      <c r="A306" s="63" t="s">
        <v>8</v>
      </c>
      <c r="B306" s="72" t="s">
        <v>2363</v>
      </c>
      <c r="C306" s="59">
        <v>4099854077890</v>
      </c>
      <c r="D306" s="90"/>
      <c r="E306" s="91"/>
      <c r="F306" s="16"/>
      <c r="G306" s="156" t="str">
        <f>HYPERLINK("https://ledvance.com/pt/product-datasheet/271777/242242","Ficha Técnica")</f>
        <v>Ficha Técnica</v>
      </c>
      <c r="H306" s="15">
        <v>5</v>
      </c>
      <c r="I306" s="163">
        <v>3500</v>
      </c>
      <c r="J306" s="15">
        <v>42</v>
      </c>
      <c r="K306" s="163" t="s">
        <v>38</v>
      </c>
      <c r="L306" s="15">
        <v>5</v>
      </c>
      <c r="M306" s="188">
        <v>135.30000000000001</v>
      </c>
      <c r="N306" s="169" t="s">
        <v>11</v>
      </c>
    </row>
    <row r="307" spans="1:14" x14ac:dyDescent="0.25">
      <c r="A307" s="63" t="s">
        <v>8</v>
      </c>
      <c r="B307" s="72" t="s">
        <v>2364</v>
      </c>
      <c r="C307" s="59">
        <v>4099854077913</v>
      </c>
      <c r="D307" s="90"/>
      <c r="E307" s="91"/>
      <c r="F307" s="16"/>
      <c r="G307" s="156" t="str">
        <f>HYPERLINK("https://ledvance.com/pt/product-datasheet/271777/242246","Ficha Técnica")</f>
        <v>Ficha Técnica</v>
      </c>
      <c r="H307" s="15">
        <v>5</v>
      </c>
      <c r="I307" s="163">
        <v>3500</v>
      </c>
      <c r="J307" s="15">
        <v>42</v>
      </c>
      <c r="K307" s="163" t="s">
        <v>38</v>
      </c>
      <c r="L307" s="15">
        <v>5</v>
      </c>
      <c r="M307" s="188">
        <v>135.30000000000001</v>
      </c>
      <c r="N307" s="169" t="s">
        <v>11</v>
      </c>
    </row>
    <row r="308" spans="1:14" x14ac:dyDescent="0.25">
      <c r="A308" s="66" t="s">
        <v>8</v>
      </c>
      <c r="B308" s="69" t="s">
        <v>140</v>
      </c>
      <c r="C308" s="51"/>
      <c r="D308" s="65"/>
      <c r="E308" s="86"/>
      <c r="F308" s="12"/>
      <c r="G308" s="157"/>
      <c r="H308" s="12"/>
      <c r="I308" s="62"/>
      <c r="J308" s="27"/>
      <c r="K308" s="62"/>
      <c r="L308" s="12"/>
      <c r="M308" s="191"/>
      <c r="N308" s="65"/>
    </row>
    <row r="309" spans="1:14" x14ac:dyDescent="0.25">
      <c r="A309" s="63" t="s">
        <v>8</v>
      </c>
      <c r="B309" s="71" t="s">
        <v>2365</v>
      </c>
      <c r="C309" s="2">
        <v>4058075617902</v>
      </c>
      <c r="D309" s="84"/>
      <c r="E309" s="85"/>
      <c r="F309" s="16"/>
      <c r="G309" s="156" t="str">
        <f>HYPERLINK("https://ledvance.com/pt/product-datasheet/8571/153852","Ficha Técnica")</f>
        <v>Ficha Técnica</v>
      </c>
      <c r="H309" s="15">
        <v>5</v>
      </c>
      <c r="I309" s="163">
        <v>920</v>
      </c>
      <c r="J309" s="15">
        <v>13</v>
      </c>
      <c r="K309" s="163" t="s">
        <v>38</v>
      </c>
      <c r="L309" s="15">
        <v>3</v>
      </c>
      <c r="M309" s="188">
        <v>52.4</v>
      </c>
      <c r="N309" s="169" t="s">
        <v>11</v>
      </c>
    </row>
    <row r="310" spans="1:14" x14ac:dyDescent="0.25">
      <c r="A310" s="63" t="s">
        <v>8</v>
      </c>
      <c r="B310" s="71" t="s">
        <v>2366</v>
      </c>
      <c r="C310" s="2">
        <v>4058075617926</v>
      </c>
      <c r="D310" s="84"/>
      <c r="E310" s="85"/>
      <c r="F310" s="16"/>
      <c r="G310" s="156" t="str">
        <f>HYPERLINK("https://ledvance.com/pt/product-datasheet/8571/153855","Ficha Técnica")</f>
        <v>Ficha Técnica</v>
      </c>
      <c r="H310" s="15">
        <v>5</v>
      </c>
      <c r="I310" s="163">
        <v>960</v>
      </c>
      <c r="J310" s="15">
        <v>13</v>
      </c>
      <c r="K310" s="163" t="s">
        <v>38</v>
      </c>
      <c r="L310" s="15">
        <v>3</v>
      </c>
      <c r="M310" s="188">
        <v>52.4</v>
      </c>
      <c r="N310" s="169" t="s">
        <v>11</v>
      </c>
    </row>
    <row r="311" spans="1:14" x14ac:dyDescent="0.25">
      <c r="A311" s="63" t="s">
        <v>8</v>
      </c>
      <c r="B311" s="71" t="s">
        <v>2367</v>
      </c>
      <c r="C311" s="2">
        <v>4058075617988</v>
      </c>
      <c r="D311" s="84"/>
      <c r="E311" s="85"/>
      <c r="F311" s="16"/>
      <c r="G311" s="156" t="str">
        <f>HYPERLINK("https://ledvance.com/pt/product-datasheet/8572/153858","Ficha Técnica")</f>
        <v>Ficha Técnica</v>
      </c>
      <c r="H311" s="15">
        <v>5</v>
      </c>
      <c r="I311" s="163">
        <v>1440</v>
      </c>
      <c r="J311" s="15">
        <v>18</v>
      </c>
      <c r="K311" s="163" t="s">
        <v>38</v>
      </c>
      <c r="L311" s="15">
        <v>3</v>
      </c>
      <c r="M311" s="188">
        <v>56.5</v>
      </c>
      <c r="N311" s="169" t="s">
        <v>11</v>
      </c>
    </row>
    <row r="312" spans="1:14" x14ac:dyDescent="0.25">
      <c r="A312" s="63" t="s">
        <v>8</v>
      </c>
      <c r="B312" s="71" t="s">
        <v>2368</v>
      </c>
      <c r="C312" s="2">
        <v>4058075618008</v>
      </c>
      <c r="D312" s="84"/>
      <c r="E312" s="85"/>
      <c r="F312" s="16"/>
      <c r="G312" s="156" t="str">
        <f>HYPERLINK("https://ledvance.com/pt/product-datasheet/8572/153861","Ficha Técnica")</f>
        <v>Ficha Técnica</v>
      </c>
      <c r="H312" s="15">
        <v>5</v>
      </c>
      <c r="I312" s="163">
        <v>1440</v>
      </c>
      <c r="J312" s="15">
        <v>18</v>
      </c>
      <c r="K312" s="163" t="s">
        <v>38</v>
      </c>
      <c r="L312" s="15">
        <v>3</v>
      </c>
      <c r="M312" s="188">
        <v>56.5</v>
      </c>
      <c r="N312" s="169" t="s">
        <v>11</v>
      </c>
    </row>
    <row r="313" spans="1:14" x14ac:dyDescent="0.25">
      <c r="A313" s="63" t="s">
        <v>8</v>
      </c>
      <c r="B313" s="72" t="s">
        <v>2369</v>
      </c>
      <c r="C313" s="59">
        <v>4099854042096</v>
      </c>
      <c r="D313" s="90"/>
      <c r="E313" s="91"/>
      <c r="F313" s="16"/>
      <c r="G313" s="156" t="str">
        <f>HYPERLINK("https://ledvance.com/pt/product-datasheet/271780/234166","Ficha Técnica")</f>
        <v>Ficha Técnica</v>
      </c>
      <c r="H313" s="15">
        <v>5</v>
      </c>
      <c r="I313" s="163">
        <v>1440</v>
      </c>
      <c r="J313" s="15">
        <v>18</v>
      </c>
      <c r="K313" s="163" t="s">
        <v>38</v>
      </c>
      <c r="L313" s="15">
        <v>5</v>
      </c>
      <c r="M313" s="188">
        <v>64.7</v>
      </c>
      <c r="N313" s="169" t="s">
        <v>11</v>
      </c>
    </row>
    <row r="314" spans="1:14" x14ac:dyDescent="0.25">
      <c r="A314" s="63" t="s">
        <v>8</v>
      </c>
      <c r="B314" s="71" t="s">
        <v>2370</v>
      </c>
      <c r="C314" s="2">
        <v>4058075618084</v>
      </c>
      <c r="D314" s="84"/>
      <c r="E314" s="85"/>
      <c r="F314" s="16"/>
      <c r="G314" s="156" t="str">
        <f>HYPERLINK("https://ledvance.com/pt/product-datasheet/8573/153864","Ficha Técnica")</f>
        <v>Ficha Técnica</v>
      </c>
      <c r="H314" s="15">
        <v>5</v>
      </c>
      <c r="I314" s="163">
        <v>1920</v>
      </c>
      <c r="J314" s="15">
        <v>24</v>
      </c>
      <c r="K314" s="163" t="s">
        <v>38</v>
      </c>
      <c r="L314" s="15">
        <v>3</v>
      </c>
      <c r="M314" s="188">
        <v>60.5</v>
      </c>
      <c r="N314" s="169" t="s">
        <v>11</v>
      </c>
    </row>
    <row r="315" spans="1:14" x14ac:dyDescent="0.25">
      <c r="A315" s="63" t="s">
        <v>8</v>
      </c>
      <c r="B315" s="71" t="s">
        <v>2371</v>
      </c>
      <c r="C315" s="2">
        <v>4058075618121</v>
      </c>
      <c r="D315" s="84"/>
      <c r="E315" s="85"/>
      <c r="F315" s="16"/>
      <c r="G315" s="156" t="str">
        <f>HYPERLINK("https://ledvance.com/pt/product-datasheet/8573/153867","Ficha Técnica")</f>
        <v>Ficha Técnica</v>
      </c>
      <c r="H315" s="15">
        <v>5</v>
      </c>
      <c r="I315" s="163">
        <v>1920</v>
      </c>
      <c r="J315" s="15">
        <v>24</v>
      </c>
      <c r="K315" s="163" t="s">
        <v>38</v>
      </c>
      <c r="L315" s="15">
        <v>3</v>
      </c>
      <c r="M315" s="188">
        <v>60.5</v>
      </c>
      <c r="N315" s="169" t="s">
        <v>11</v>
      </c>
    </row>
    <row r="316" spans="1:14" x14ac:dyDescent="0.25">
      <c r="A316" s="63" t="s">
        <v>8</v>
      </c>
      <c r="B316" s="71" t="s">
        <v>2372</v>
      </c>
      <c r="C316" s="59">
        <v>4099854042157</v>
      </c>
      <c r="D316" s="90"/>
      <c r="E316" s="91"/>
      <c r="F316" s="16"/>
      <c r="G316" s="156" t="str">
        <f>HYPERLINK("https://ledvance.com/pt/product-datasheet/246674/234175","Ficha Técnica")</f>
        <v>Ficha Técnica</v>
      </c>
      <c r="H316" s="15">
        <v>5</v>
      </c>
      <c r="I316" s="163" t="s">
        <v>1683</v>
      </c>
      <c r="J316" s="15" t="s">
        <v>1684</v>
      </c>
      <c r="K316" s="163" t="s">
        <v>38</v>
      </c>
      <c r="L316" s="15">
        <v>5</v>
      </c>
      <c r="M316" s="188">
        <v>89.7</v>
      </c>
      <c r="N316" s="169" t="s">
        <v>11</v>
      </c>
    </row>
    <row r="317" spans="1:14" x14ac:dyDescent="0.25">
      <c r="A317" s="63" t="s">
        <v>8</v>
      </c>
      <c r="B317" s="71" t="s">
        <v>2373</v>
      </c>
      <c r="C317" s="59">
        <v>4099854042171</v>
      </c>
      <c r="D317" s="90"/>
      <c r="E317" s="91"/>
      <c r="F317" s="16"/>
      <c r="G317" s="156" t="str">
        <f>HYPERLINK("https://ledvance.com/pt/product-datasheet/246674/234178","Ficha Técnica")</f>
        <v>Ficha Técnica</v>
      </c>
      <c r="H317" s="15">
        <v>5</v>
      </c>
      <c r="I317" s="163" t="s">
        <v>1683</v>
      </c>
      <c r="J317" s="15" t="s">
        <v>1684</v>
      </c>
      <c r="K317" s="163" t="s">
        <v>38</v>
      </c>
      <c r="L317" s="15">
        <v>5</v>
      </c>
      <c r="M317" s="188">
        <v>89.7</v>
      </c>
      <c r="N317" s="169" t="s">
        <v>11</v>
      </c>
    </row>
    <row r="318" spans="1:14" x14ac:dyDescent="0.25">
      <c r="A318" s="66" t="s">
        <v>40</v>
      </c>
      <c r="B318" s="69" t="s">
        <v>141</v>
      </c>
      <c r="C318" s="51"/>
      <c r="D318" s="65"/>
      <c r="E318" s="86"/>
      <c r="F318" s="12"/>
      <c r="G318" s="157"/>
      <c r="H318" s="12"/>
      <c r="I318" s="62"/>
      <c r="J318" s="27"/>
      <c r="K318" s="62"/>
      <c r="L318" s="12"/>
      <c r="M318" s="191"/>
      <c r="N318" s="65"/>
    </row>
    <row r="319" spans="1:14" x14ac:dyDescent="0.25">
      <c r="A319" s="63" t="s">
        <v>40</v>
      </c>
      <c r="B319" s="71" t="s">
        <v>142</v>
      </c>
      <c r="C319" s="2">
        <v>4058075156722</v>
      </c>
      <c r="D319" s="84"/>
      <c r="E319" s="85"/>
      <c r="F319" s="16"/>
      <c r="G319" s="156" t="str">
        <f>HYPERLINK("https://ledvance.com/pt/product-datasheet/8577/138564","Ficha Técnica")</f>
        <v>Ficha Técnica</v>
      </c>
      <c r="H319" s="15">
        <v>5</v>
      </c>
      <c r="I319" s="163"/>
      <c r="J319" s="15"/>
      <c r="K319" s="163"/>
      <c r="L319" s="15">
        <v>2</v>
      </c>
      <c r="M319" s="188">
        <v>7</v>
      </c>
      <c r="N319" s="169" t="s">
        <v>11</v>
      </c>
    </row>
    <row r="320" spans="1:14" x14ac:dyDescent="0.25">
      <c r="A320" s="63" t="s">
        <v>40</v>
      </c>
      <c r="B320" s="71" t="s">
        <v>143</v>
      </c>
      <c r="C320" s="2">
        <v>4058075156807</v>
      </c>
      <c r="D320" s="84"/>
      <c r="E320" s="85"/>
      <c r="F320" s="16"/>
      <c r="G320" s="156" t="str">
        <f>HYPERLINK("https://ledvance.com/pt/product-datasheet/8577/138567","Ficha Técnica")</f>
        <v>Ficha Técnica</v>
      </c>
      <c r="H320" s="15">
        <v>5</v>
      </c>
      <c r="I320" s="163"/>
      <c r="J320" s="15"/>
      <c r="K320" s="163"/>
      <c r="L320" s="15">
        <v>2</v>
      </c>
      <c r="M320" s="188">
        <v>12.5</v>
      </c>
      <c r="N320" s="169" t="s">
        <v>11</v>
      </c>
    </row>
    <row r="321" spans="1:14" x14ac:dyDescent="0.25">
      <c r="A321" s="63" t="s">
        <v>40</v>
      </c>
      <c r="B321" s="72" t="s">
        <v>1658</v>
      </c>
      <c r="C321" s="59">
        <v>4099854064357</v>
      </c>
      <c r="D321" s="90"/>
      <c r="E321" s="91"/>
      <c r="F321" s="16"/>
      <c r="G321" s="156" t="str">
        <f>HYPERLINK("https://ledvance.com/pt/product-datasheet/8577/237921","Ficha Técnica")</f>
        <v>Ficha Técnica</v>
      </c>
      <c r="H321" s="15">
        <v>5</v>
      </c>
      <c r="I321" s="163"/>
      <c r="J321" s="15"/>
      <c r="K321" s="163"/>
      <c r="L321" s="15">
        <v>2</v>
      </c>
      <c r="M321" s="188">
        <v>15.8</v>
      </c>
      <c r="N321" s="169" t="s">
        <v>11</v>
      </c>
    </row>
    <row r="322" spans="1:14" x14ac:dyDescent="0.25">
      <c r="A322" s="63" t="s">
        <v>40</v>
      </c>
      <c r="B322" s="71" t="s">
        <v>144</v>
      </c>
      <c r="C322" s="2">
        <v>4058075156821</v>
      </c>
      <c r="D322" s="84"/>
      <c r="E322" s="85"/>
      <c r="F322" s="16"/>
      <c r="G322" s="156" t="str">
        <f>HYPERLINK("https://ledvance.com/pt/product-datasheet/8577/138570","Ficha Técnica")</f>
        <v>Ficha Técnica</v>
      </c>
      <c r="H322" s="15">
        <v>5</v>
      </c>
      <c r="I322" s="163"/>
      <c r="J322" s="15"/>
      <c r="K322" s="163"/>
      <c r="L322" s="15">
        <v>2</v>
      </c>
      <c r="M322" s="188">
        <v>16.3</v>
      </c>
      <c r="N322" s="169" t="s">
        <v>11</v>
      </c>
    </row>
    <row r="323" spans="1:14" x14ac:dyDescent="0.25">
      <c r="A323" s="63" t="s">
        <v>40</v>
      </c>
      <c r="B323" s="71" t="s">
        <v>1659</v>
      </c>
      <c r="C323" s="59">
        <v>4099854064395</v>
      </c>
      <c r="D323" s="90"/>
      <c r="E323" s="91"/>
      <c r="F323" s="16"/>
      <c r="G323" s="156" t="str">
        <f>HYPERLINK("https://ledvance.com/pt/product-datasheet/8577/237925","Ficha Técnica")</f>
        <v>Ficha Técnica</v>
      </c>
      <c r="H323" s="15">
        <v>5</v>
      </c>
      <c r="I323" s="163"/>
      <c r="J323" s="15"/>
      <c r="K323" s="163"/>
      <c r="L323" s="15">
        <v>2</v>
      </c>
      <c r="M323" s="188">
        <v>23</v>
      </c>
      <c r="N323" s="169" t="s">
        <v>11</v>
      </c>
    </row>
    <row r="324" spans="1:14" x14ac:dyDescent="0.25">
      <c r="A324" s="63" t="s">
        <v>40</v>
      </c>
      <c r="B324" s="71" t="s">
        <v>145</v>
      </c>
      <c r="C324" s="59">
        <v>4058075834187</v>
      </c>
      <c r="D324" s="90"/>
      <c r="E324" s="91"/>
      <c r="F324" s="16"/>
      <c r="G324" s="156" t="str">
        <f>HYPERLINK("https://ledvance.com/pt/product-datasheet/271580/269105","Ficha Técnica")</f>
        <v>Ficha Técnica</v>
      </c>
      <c r="H324" s="15">
        <v>5</v>
      </c>
      <c r="I324" s="163"/>
      <c r="J324" s="15"/>
      <c r="K324" s="163"/>
      <c r="L324" s="15">
        <v>2</v>
      </c>
      <c r="M324" s="188">
        <v>106.6</v>
      </c>
      <c r="N324" s="169" t="s">
        <v>11</v>
      </c>
    </row>
    <row r="325" spans="1:14" x14ac:dyDescent="0.25">
      <c r="A325" s="63" t="s">
        <v>40</v>
      </c>
      <c r="B325" s="71" t="s">
        <v>146</v>
      </c>
      <c r="C325" s="59">
        <v>4058075834200</v>
      </c>
      <c r="D325" s="90"/>
      <c r="E325" s="91"/>
      <c r="F325" s="16"/>
      <c r="G325" s="156" t="str">
        <f>HYPERLINK("https://ledvance.com/pt/product-datasheet/271580/269108","Ficha Técnica")</f>
        <v>Ficha Técnica</v>
      </c>
      <c r="H325" s="15">
        <v>5</v>
      </c>
      <c r="I325" s="163"/>
      <c r="J325" s="15"/>
      <c r="K325" s="163"/>
      <c r="L325" s="15">
        <v>2</v>
      </c>
      <c r="M325" s="188">
        <v>106.6</v>
      </c>
      <c r="N325" s="169" t="s">
        <v>11</v>
      </c>
    </row>
    <row r="326" spans="1:14" x14ac:dyDescent="0.25">
      <c r="A326" s="66" t="s">
        <v>8</v>
      </c>
      <c r="B326" s="73" t="s">
        <v>147</v>
      </c>
      <c r="C326" s="51"/>
      <c r="D326" s="65"/>
      <c r="E326" s="86"/>
      <c r="F326" s="12"/>
      <c r="G326" s="157"/>
      <c r="H326" s="12"/>
      <c r="I326" s="62"/>
      <c r="J326" s="27"/>
      <c r="K326" s="62"/>
      <c r="L326" s="12"/>
      <c r="M326" s="191"/>
      <c r="N326" s="65"/>
    </row>
    <row r="327" spans="1:14" x14ac:dyDescent="0.25">
      <c r="A327" s="63" t="s">
        <v>8</v>
      </c>
      <c r="B327" s="71" t="s">
        <v>2374</v>
      </c>
      <c r="C327" s="59">
        <v>4099854041952</v>
      </c>
      <c r="D327" s="90"/>
      <c r="E327" s="91"/>
      <c r="F327" s="18"/>
      <c r="G327" s="156" t="str">
        <f>HYPERLINK("https://ledvance.com/pt/product-datasheet/271785/234145","Ficha Técnica")</f>
        <v>Ficha Técnica</v>
      </c>
      <c r="H327" s="15">
        <v>5</v>
      </c>
      <c r="I327" s="163">
        <v>2000</v>
      </c>
      <c r="J327" s="15">
        <v>24</v>
      </c>
      <c r="K327" s="163" t="s">
        <v>38</v>
      </c>
      <c r="L327" s="15">
        <v>3</v>
      </c>
      <c r="M327" s="188">
        <v>53.3</v>
      </c>
      <c r="N327" s="169" t="s">
        <v>11</v>
      </c>
    </row>
    <row r="328" spans="1:14" x14ac:dyDescent="0.25">
      <c r="A328" s="63" t="s">
        <v>8</v>
      </c>
      <c r="B328" s="71" t="s">
        <v>2375</v>
      </c>
      <c r="C328" s="59">
        <v>4099854041976</v>
      </c>
      <c r="D328" s="90"/>
      <c r="E328" s="91"/>
      <c r="F328" s="18"/>
      <c r="G328" s="156" t="str">
        <f>HYPERLINK("https://ledvance.com/pt/product-datasheet/271785/234148","Ficha Técnica")</f>
        <v>Ficha Técnica</v>
      </c>
      <c r="H328" s="15">
        <v>5</v>
      </c>
      <c r="I328" s="163">
        <v>2000</v>
      </c>
      <c r="J328" s="15">
        <v>24</v>
      </c>
      <c r="K328" s="163" t="s">
        <v>38</v>
      </c>
      <c r="L328" s="15">
        <v>3</v>
      </c>
      <c r="M328" s="188">
        <v>53.3</v>
      </c>
      <c r="N328" s="169" t="s">
        <v>11</v>
      </c>
    </row>
    <row r="329" spans="1:14" x14ac:dyDescent="0.25">
      <c r="A329" s="63" t="s">
        <v>8</v>
      </c>
      <c r="B329" s="71" t="s">
        <v>2376</v>
      </c>
      <c r="C329" s="59">
        <v>4099854041990</v>
      </c>
      <c r="D329" s="90"/>
      <c r="E329" s="91"/>
      <c r="F329" s="18"/>
      <c r="G329" s="156" t="str">
        <f>HYPERLINK("https://ledvance.com/pt/product-datasheet/271786/234151","Ficha Técnica")</f>
        <v>Ficha Técnica</v>
      </c>
      <c r="H329" s="15">
        <v>5</v>
      </c>
      <c r="I329" s="163">
        <v>2000</v>
      </c>
      <c r="J329" s="15">
        <v>24</v>
      </c>
      <c r="K329" s="163" t="s">
        <v>38</v>
      </c>
      <c r="L329" s="15">
        <v>3</v>
      </c>
      <c r="M329" s="188">
        <v>72.900000000000006</v>
      </c>
      <c r="N329" s="169" t="s">
        <v>11</v>
      </c>
    </row>
    <row r="330" spans="1:14" x14ac:dyDescent="0.25">
      <c r="A330" s="63" t="s">
        <v>8</v>
      </c>
      <c r="B330" s="71" t="s">
        <v>2377</v>
      </c>
      <c r="C330" s="59">
        <v>4099854042010</v>
      </c>
      <c r="D330" s="90"/>
      <c r="E330" s="91"/>
      <c r="F330" s="18"/>
      <c r="G330" s="156" t="str">
        <f>HYPERLINK("https://ledvance.com/pt/product-datasheet/271786/234154","Ficha Técnica")</f>
        <v>Ficha Técnica</v>
      </c>
      <c r="H330" s="15">
        <v>5</v>
      </c>
      <c r="I330" s="163">
        <v>2000</v>
      </c>
      <c r="J330" s="15">
        <v>24</v>
      </c>
      <c r="K330" s="163" t="s">
        <v>38</v>
      </c>
      <c r="L330" s="15">
        <v>3</v>
      </c>
      <c r="M330" s="188">
        <v>72.900000000000006</v>
      </c>
      <c r="N330" s="169" t="s">
        <v>11</v>
      </c>
    </row>
    <row r="331" spans="1:14" x14ac:dyDescent="0.25">
      <c r="A331" s="63" t="s">
        <v>8</v>
      </c>
      <c r="B331" s="71" t="s">
        <v>2378</v>
      </c>
      <c r="C331" s="59">
        <v>4099854042034</v>
      </c>
      <c r="D331" s="90"/>
      <c r="E331" s="91"/>
      <c r="F331" s="18"/>
      <c r="G331" s="156" t="str">
        <f>HYPERLINK("https://ledvance.com/pt/product-datasheet/271787/234157","Ficha Técnica")</f>
        <v>Ficha Técnica</v>
      </c>
      <c r="H331" s="15">
        <v>5</v>
      </c>
      <c r="I331" s="163">
        <v>2000</v>
      </c>
      <c r="J331" s="15">
        <v>24</v>
      </c>
      <c r="K331" s="163" t="s">
        <v>38</v>
      </c>
      <c r="L331" s="15">
        <v>5</v>
      </c>
      <c r="M331" s="188">
        <v>58.6</v>
      </c>
      <c r="N331" s="169" t="s">
        <v>11</v>
      </c>
    </row>
    <row r="332" spans="1:14" x14ac:dyDescent="0.25">
      <c r="A332" s="63" t="s">
        <v>8</v>
      </c>
      <c r="B332" s="71" t="s">
        <v>2379</v>
      </c>
      <c r="C332" s="59">
        <v>4099854042058</v>
      </c>
      <c r="D332" s="90"/>
      <c r="E332" s="91"/>
      <c r="F332" s="18"/>
      <c r="G332" s="156" t="str">
        <f>HYPERLINK("https://ledvance.com/pt/product-datasheet/271788/234160","Ficha Técnica")</f>
        <v>Ficha Técnica</v>
      </c>
      <c r="H332" s="15">
        <v>5</v>
      </c>
      <c r="I332" s="163">
        <v>2000</v>
      </c>
      <c r="J332" s="15">
        <v>24</v>
      </c>
      <c r="K332" s="163" t="s">
        <v>38</v>
      </c>
      <c r="L332" s="15">
        <v>5</v>
      </c>
      <c r="M332" s="188">
        <v>78.7</v>
      </c>
      <c r="N332" s="169" t="s">
        <v>11</v>
      </c>
    </row>
    <row r="333" spans="1:14" x14ac:dyDescent="0.25">
      <c r="A333" s="63" t="s">
        <v>40</v>
      </c>
      <c r="B333" s="71" t="s">
        <v>1660</v>
      </c>
      <c r="C333" s="59">
        <v>4099854064432</v>
      </c>
      <c r="D333" s="90"/>
      <c r="E333" s="91"/>
      <c r="F333" s="18"/>
      <c r="G333" s="156" t="str">
        <f>HYPERLINK("https://ledvance.com/pt/product-datasheet/271789/237931","Ficha Técnica")</f>
        <v>Ficha Técnica</v>
      </c>
      <c r="H333" s="15">
        <v>5</v>
      </c>
      <c r="I333" s="163"/>
      <c r="J333" s="15"/>
      <c r="K333" s="163"/>
      <c r="L333" s="15">
        <v>2</v>
      </c>
      <c r="M333" s="188">
        <v>15.8</v>
      </c>
      <c r="N333" s="169" t="s">
        <v>11</v>
      </c>
    </row>
    <row r="334" spans="1:14" ht="15.75" x14ac:dyDescent="0.25">
      <c r="A334" s="66" t="s">
        <v>8</v>
      </c>
      <c r="B334" s="69" t="s">
        <v>2213</v>
      </c>
      <c r="C334" s="51"/>
      <c r="D334" s="65"/>
      <c r="E334" s="92"/>
      <c r="F334" s="12"/>
      <c r="G334" s="157"/>
      <c r="H334" s="12"/>
      <c r="I334" s="62"/>
      <c r="J334" s="27"/>
      <c r="K334" s="62"/>
      <c r="L334" s="12"/>
      <c r="M334" s="191"/>
      <c r="N334" s="65"/>
    </row>
    <row r="335" spans="1:14" x14ac:dyDescent="0.25">
      <c r="A335" s="63" t="s">
        <v>8</v>
      </c>
      <c r="B335" s="71" t="s">
        <v>2380</v>
      </c>
      <c r="C335" s="2">
        <v>4099854292378</v>
      </c>
      <c r="D335" s="93"/>
      <c r="E335" s="94"/>
      <c r="G335" s="156" t="str">
        <f>HYPERLINK("https://ledvance.com/pt/product-datasheet/318333/301313","Ficha Técnica")</f>
        <v>Ficha Técnica</v>
      </c>
      <c r="H335" s="15">
        <v>6</v>
      </c>
      <c r="I335" s="163" t="s">
        <v>1685</v>
      </c>
      <c r="J335" s="207" t="s">
        <v>3980</v>
      </c>
      <c r="K335" s="163" t="s">
        <v>572</v>
      </c>
      <c r="L335" s="15">
        <v>5</v>
      </c>
      <c r="M335" s="188">
        <v>95.1</v>
      </c>
      <c r="N335" s="169" t="s">
        <v>11</v>
      </c>
    </row>
    <row r="336" spans="1:14" x14ac:dyDescent="0.25">
      <c r="A336" s="63" t="s">
        <v>8</v>
      </c>
      <c r="B336" s="71" t="s">
        <v>2381</v>
      </c>
      <c r="C336" s="2">
        <v>4099854292491</v>
      </c>
      <c r="D336" s="93"/>
      <c r="E336" s="94"/>
      <c r="G336" s="156" t="str">
        <f>HYPERLINK("https://ledvance.com/pt/product-datasheet/318336/301316","Ficha Técnica")</f>
        <v>Ficha Técnica</v>
      </c>
      <c r="H336" s="15">
        <v>6</v>
      </c>
      <c r="I336" s="163" t="s">
        <v>1685</v>
      </c>
      <c r="J336" s="15" t="s">
        <v>3980</v>
      </c>
      <c r="K336" s="163" t="s">
        <v>572</v>
      </c>
      <c r="L336" s="15">
        <v>5</v>
      </c>
      <c r="M336" s="188">
        <v>102.8</v>
      </c>
      <c r="N336" s="169" t="s">
        <v>11</v>
      </c>
    </row>
    <row r="337" spans="1:14" x14ac:dyDescent="0.25">
      <c r="A337" s="63" t="s">
        <v>8</v>
      </c>
      <c r="B337" s="72" t="s">
        <v>2382</v>
      </c>
      <c r="C337" s="2">
        <v>4099854292552</v>
      </c>
      <c r="D337" s="93"/>
      <c r="E337" s="94"/>
      <c r="G337" s="156" t="str">
        <f>HYPERLINK("https://ledvance.com/pt/product-datasheet/318333/301319","Ficha Técnica")</f>
        <v>Ficha Técnica</v>
      </c>
      <c r="H337" s="15">
        <v>4</v>
      </c>
      <c r="I337" s="163" t="s">
        <v>1686</v>
      </c>
      <c r="J337" s="15" t="s">
        <v>1687</v>
      </c>
      <c r="K337" s="163" t="s">
        <v>572</v>
      </c>
      <c r="L337" s="15">
        <v>5</v>
      </c>
      <c r="M337" s="188">
        <v>167.5</v>
      </c>
      <c r="N337" s="169" t="s">
        <v>11</v>
      </c>
    </row>
    <row r="338" spans="1:14" x14ac:dyDescent="0.25">
      <c r="A338" s="63" t="s">
        <v>8</v>
      </c>
      <c r="B338" s="71" t="s">
        <v>2383</v>
      </c>
      <c r="C338" s="2">
        <v>4099854292675</v>
      </c>
      <c r="D338" s="93"/>
      <c r="E338" s="94"/>
      <c r="G338" s="156" t="str">
        <f>HYPERLINK("https://ledvance.com/pt/product-datasheet/318336/301322","Ficha Técnica")</f>
        <v>Ficha Técnica</v>
      </c>
      <c r="H338" s="15">
        <v>4</v>
      </c>
      <c r="I338" s="163" t="s">
        <v>1686</v>
      </c>
      <c r="J338" s="15" t="s">
        <v>1687</v>
      </c>
      <c r="K338" s="163" t="s">
        <v>572</v>
      </c>
      <c r="L338" s="15">
        <v>5</v>
      </c>
      <c r="M338" s="188">
        <v>178.9</v>
      </c>
      <c r="N338" s="169" t="s">
        <v>11</v>
      </c>
    </row>
    <row r="339" spans="1:14" x14ac:dyDescent="0.25">
      <c r="A339" s="63" t="s">
        <v>8</v>
      </c>
      <c r="B339" s="71" t="s">
        <v>2384</v>
      </c>
      <c r="C339" s="2">
        <v>4099854292699</v>
      </c>
      <c r="D339" s="93"/>
      <c r="E339" s="94"/>
      <c r="G339" s="156" t="str">
        <f>HYPERLINK("https://ledvance.com/pt/product-datasheet/318334/301325","Ficha Técnica")</f>
        <v>Ficha Técnica</v>
      </c>
      <c r="H339" s="15">
        <v>6</v>
      </c>
      <c r="I339" s="163" t="s">
        <v>1685</v>
      </c>
      <c r="J339" s="15" t="s">
        <v>3980</v>
      </c>
      <c r="K339" s="163" t="s">
        <v>572</v>
      </c>
      <c r="L339" s="15">
        <v>5</v>
      </c>
      <c r="M339" s="188">
        <v>171</v>
      </c>
      <c r="N339" s="169" t="s">
        <v>11</v>
      </c>
    </row>
    <row r="340" spans="1:14" x14ac:dyDescent="0.25">
      <c r="A340" s="63" t="s">
        <v>8</v>
      </c>
      <c r="B340" s="71" t="s">
        <v>2385</v>
      </c>
      <c r="C340" s="2">
        <v>4099854292712</v>
      </c>
      <c r="D340" s="93"/>
      <c r="E340" s="94"/>
      <c r="G340" s="156" t="str">
        <f>HYPERLINK("https://ledvance.com/pt/product-datasheet/318337/301328","Ficha Técnica")</f>
        <v>Ficha Técnica</v>
      </c>
      <c r="H340" s="15">
        <v>6</v>
      </c>
      <c r="I340" s="163" t="s">
        <v>1685</v>
      </c>
      <c r="J340" s="15" t="s">
        <v>3980</v>
      </c>
      <c r="K340" s="163" t="s">
        <v>572</v>
      </c>
      <c r="L340" s="15">
        <v>5</v>
      </c>
      <c r="M340" s="188">
        <v>178.6</v>
      </c>
      <c r="N340" s="169" t="s">
        <v>11</v>
      </c>
    </row>
    <row r="341" spans="1:14" x14ac:dyDescent="0.25">
      <c r="A341" s="63" t="s">
        <v>8</v>
      </c>
      <c r="B341" s="72" t="s">
        <v>2386</v>
      </c>
      <c r="C341" s="2">
        <v>4099854292736</v>
      </c>
      <c r="D341" s="93"/>
      <c r="E341" s="94"/>
      <c r="G341" s="156" t="str">
        <f>HYPERLINK("https://ledvance.com/pt/product-datasheet/318334/301331","Ficha Técnica")</f>
        <v>Ficha Técnica</v>
      </c>
      <c r="H341" s="15">
        <v>4</v>
      </c>
      <c r="I341" s="163" t="s">
        <v>1686</v>
      </c>
      <c r="J341" s="15" t="s">
        <v>1687</v>
      </c>
      <c r="K341" s="163" t="s">
        <v>572</v>
      </c>
      <c r="L341" s="15">
        <v>5</v>
      </c>
      <c r="M341" s="188">
        <v>243.3</v>
      </c>
      <c r="N341" s="169" t="s">
        <v>11</v>
      </c>
    </row>
    <row r="342" spans="1:14" x14ac:dyDescent="0.25">
      <c r="A342" s="63" t="s">
        <v>8</v>
      </c>
      <c r="B342" s="71" t="s">
        <v>2387</v>
      </c>
      <c r="C342" s="2">
        <v>4099854292750</v>
      </c>
      <c r="D342" s="93"/>
      <c r="E342" s="94"/>
      <c r="G342" s="156" t="str">
        <f>HYPERLINK("https://ledvance.com/pt/product-datasheet/318337/301334","Ficha Técnica")</f>
        <v>Ficha Técnica</v>
      </c>
      <c r="H342" s="15">
        <v>4</v>
      </c>
      <c r="I342" s="163" t="s">
        <v>1686</v>
      </c>
      <c r="J342" s="15" t="s">
        <v>1687</v>
      </c>
      <c r="K342" s="163" t="s">
        <v>572</v>
      </c>
      <c r="L342" s="15">
        <v>5</v>
      </c>
      <c r="M342" s="188">
        <v>254.8</v>
      </c>
      <c r="N342" s="169" t="s">
        <v>11</v>
      </c>
    </row>
    <row r="343" spans="1:14" x14ac:dyDescent="0.25">
      <c r="A343" s="63" t="s">
        <v>8</v>
      </c>
      <c r="B343" s="71" t="s">
        <v>1188</v>
      </c>
      <c r="C343" s="2">
        <v>4099854292774</v>
      </c>
      <c r="D343" s="93"/>
      <c r="E343" s="94"/>
      <c r="G343" s="156" t="str">
        <f>HYPERLINK("https://ledvance.com/pt/product-datasheet/318335/301337","Ficha Técnica")</f>
        <v>Ficha Técnica</v>
      </c>
      <c r="H343" s="15">
        <v>4</v>
      </c>
      <c r="I343" s="163">
        <v>3780</v>
      </c>
      <c r="J343" s="15">
        <v>27</v>
      </c>
      <c r="K343" s="163" t="s">
        <v>572</v>
      </c>
      <c r="L343" s="15">
        <v>5</v>
      </c>
      <c r="M343" s="188">
        <v>250.9</v>
      </c>
      <c r="N343" s="169" t="s">
        <v>11</v>
      </c>
    </row>
    <row r="344" spans="1:14" x14ac:dyDescent="0.25">
      <c r="A344" s="63" t="s">
        <v>8</v>
      </c>
      <c r="B344" s="71" t="s">
        <v>1189</v>
      </c>
      <c r="C344" s="2">
        <v>4099854292798</v>
      </c>
      <c r="D344" s="93"/>
      <c r="E344" s="94"/>
      <c r="G344" s="156" t="str">
        <f>HYPERLINK("https://ledvance.com/pt/product-datasheet/318338/301341","Ficha Técnica")</f>
        <v>Ficha Técnica</v>
      </c>
      <c r="H344" s="15">
        <v>4</v>
      </c>
      <c r="I344" s="163">
        <v>3780</v>
      </c>
      <c r="J344" s="15">
        <v>27</v>
      </c>
      <c r="K344" s="163" t="s">
        <v>572</v>
      </c>
      <c r="L344" s="15">
        <v>5</v>
      </c>
      <c r="M344" s="188">
        <v>262.39999999999998</v>
      </c>
      <c r="N344" s="169" t="s">
        <v>11</v>
      </c>
    </row>
    <row r="345" spans="1:14" ht="15.75" x14ac:dyDescent="0.25">
      <c r="A345" s="66" t="s">
        <v>40</v>
      </c>
      <c r="B345" s="69" t="s">
        <v>2212</v>
      </c>
      <c r="C345" s="51"/>
      <c r="D345" s="65"/>
      <c r="E345" s="92"/>
      <c r="F345" s="12"/>
      <c r="G345" s="157"/>
      <c r="H345" s="12"/>
      <c r="I345" s="62"/>
      <c r="J345" s="27"/>
      <c r="K345" s="62"/>
      <c r="L345" s="12"/>
      <c r="M345" s="191"/>
      <c r="N345" s="65"/>
    </row>
    <row r="346" spans="1:14" x14ac:dyDescent="0.25">
      <c r="A346" s="63" t="s">
        <v>40</v>
      </c>
      <c r="B346" s="71" t="s">
        <v>1197</v>
      </c>
      <c r="C346" s="2">
        <v>4099854312212</v>
      </c>
      <c r="D346" s="93"/>
      <c r="E346" s="94"/>
      <c r="G346" s="156" t="str">
        <f>HYPERLINK("https://ledvance.com/pt/product-datasheet/318342/308523","Ficha Técnica")</f>
        <v>Ficha Técnica</v>
      </c>
      <c r="H346" s="15">
        <v>6</v>
      </c>
      <c r="I346" s="163">
        <v>2660</v>
      </c>
      <c r="J346" s="15">
        <v>16</v>
      </c>
      <c r="K346" s="163" t="s">
        <v>46</v>
      </c>
      <c r="L346" s="15">
        <v>5</v>
      </c>
      <c r="M346" s="188">
        <v>59.3</v>
      </c>
      <c r="N346" s="169" t="s">
        <v>11</v>
      </c>
    </row>
    <row r="347" spans="1:14" x14ac:dyDescent="0.25">
      <c r="A347" s="63" t="s">
        <v>40</v>
      </c>
      <c r="B347" s="71" t="s">
        <v>1198</v>
      </c>
      <c r="C347" s="2">
        <v>4099854312236</v>
      </c>
      <c r="D347" s="93"/>
      <c r="E347" s="94"/>
      <c r="G347" s="156" t="str">
        <f>HYPERLINK("https://ledvance.com/pt/product-datasheet/318342/308526","Ficha Técnica")</f>
        <v>Ficha Técnica</v>
      </c>
      <c r="H347" s="15">
        <v>4</v>
      </c>
      <c r="I347" s="163">
        <v>3780</v>
      </c>
      <c r="J347" s="15">
        <v>23</v>
      </c>
      <c r="K347" s="163" t="s">
        <v>46</v>
      </c>
      <c r="L347" s="15">
        <v>5</v>
      </c>
      <c r="M347" s="188">
        <v>111.6</v>
      </c>
      <c r="N347" s="169" t="s">
        <v>11</v>
      </c>
    </row>
    <row r="348" spans="1:14" x14ac:dyDescent="0.25">
      <c r="A348" s="63" t="s">
        <v>40</v>
      </c>
      <c r="B348" s="72" t="s">
        <v>1199</v>
      </c>
      <c r="C348" s="2">
        <v>4099854312250</v>
      </c>
      <c r="D348" s="93"/>
      <c r="E348" s="94"/>
      <c r="G348" s="156" t="str">
        <f>HYPERLINK("https://ledvance.com/pt/product-datasheet/318342/308529","Ficha Técnica")</f>
        <v>Ficha Técnica</v>
      </c>
      <c r="H348" s="15">
        <v>6</v>
      </c>
      <c r="I348" s="163">
        <v>2660</v>
      </c>
      <c r="J348" s="15">
        <v>16</v>
      </c>
      <c r="K348" s="163" t="s">
        <v>46</v>
      </c>
      <c r="L348" s="15">
        <v>5</v>
      </c>
      <c r="M348" s="188">
        <v>69.8</v>
      </c>
      <c r="N348" s="169" t="s">
        <v>11</v>
      </c>
    </row>
    <row r="349" spans="1:14" x14ac:dyDescent="0.25">
      <c r="A349" s="63" t="s">
        <v>40</v>
      </c>
      <c r="B349" s="71" t="s">
        <v>1200</v>
      </c>
      <c r="C349" s="2">
        <v>4099854312274</v>
      </c>
      <c r="D349" s="93"/>
      <c r="E349" s="94"/>
      <c r="G349" s="156" t="str">
        <f>HYPERLINK("https://ledvance.com/pt/product-datasheet/318342/308532","Ficha Técnica")</f>
        <v>Ficha Técnica</v>
      </c>
      <c r="H349" s="15">
        <v>4</v>
      </c>
      <c r="I349" s="163">
        <v>3780</v>
      </c>
      <c r="J349" s="15">
        <v>23</v>
      </c>
      <c r="K349" s="163" t="s">
        <v>46</v>
      </c>
      <c r="L349" s="15">
        <v>5</v>
      </c>
      <c r="M349" s="188">
        <v>122.1</v>
      </c>
      <c r="N349" s="169" t="s">
        <v>11</v>
      </c>
    </row>
    <row r="350" spans="1:14" x14ac:dyDescent="0.25">
      <c r="A350" s="63" t="s">
        <v>103</v>
      </c>
      <c r="B350" s="71" t="s">
        <v>1190</v>
      </c>
      <c r="C350" s="2">
        <v>4099854292859</v>
      </c>
      <c r="D350" s="93"/>
      <c r="E350" s="94"/>
      <c r="G350" s="156" t="str">
        <f>HYPERLINK("https://ledvance.com/pt/product-datasheet/318340/301345","Ficha Técnica")</f>
        <v>Ficha Técnica</v>
      </c>
      <c r="H350" s="15">
        <v>10</v>
      </c>
      <c r="I350" s="163"/>
      <c r="J350" s="15">
        <v>19</v>
      </c>
      <c r="K350" s="163" t="s">
        <v>46</v>
      </c>
      <c r="L350" s="15">
        <v>5</v>
      </c>
      <c r="M350" s="188">
        <v>17.5</v>
      </c>
      <c r="N350" s="169" t="s">
        <v>11</v>
      </c>
    </row>
    <row r="351" spans="1:14" x14ac:dyDescent="0.25">
      <c r="A351" s="63" t="s">
        <v>103</v>
      </c>
      <c r="B351" s="71" t="s">
        <v>1191</v>
      </c>
      <c r="C351" s="2">
        <v>4099854292873</v>
      </c>
      <c r="D351" s="93"/>
      <c r="E351" s="94"/>
      <c r="G351" s="156" t="str">
        <f>HYPERLINK("https://ledvance.com/pt/product-datasheet/318340/301348","Ficha Técnica")</f>
        <v>Ficha Técnica</v>
      </c>
      <c r="H351" s="15">
        <v>10</v>
      </c>
      <c r="I351" s="163"/>
      <c r="J351" s="15">
        <v>27</v>
      </c>
      <c r="K351" s="163" t="s">
        <v>46</v>
      </c>
      <c r="L351" s="15">
        <v>5</v>
      </c>
      <c r="M351" s="188">
        <v>24.5</v>
      </c>
      <c r="N351" s="169" t="s">
        <v>11</v>
      </c>
    </row>
    <row r="352" spans="1:14" x14ac:dyDescent="0.25">
      <c r="A352" s="63" t="s">
        <v>40</v>
      </c>
      <c r="B352" s="72" t="s">
        <v>1192</v>
      </c>
      <c r="C352" s="2">
        <v>4099854292897</v>
      </c>
      <c r="D352" s="93"/>
      <c r="E352" s="94"/>
      <c r="G352" s="156" t="str">
        <f>HYPERLINK("https://ledvance.com/pt/product-datasheet/318341/301351","Ficha Técnica")</f>
        <v>Ficha Técnica</v>
      </c>
      <c r="H352" s="15">
        <v>10</v>
      </c>
      <c r="I352" s="163"/>
      <c r="J352" s="15"/>
      <c r="K352" s="163"/>
      <c r="L352" s="15">
        <v>5</v>
      </c>
      <c r="M352" s="188">
        <v>64.599999999999994</v>
      </c>
      <c r="N352" s="169" t="s">
        <v>11</v>
      </c>
    </row>
    <row r="353" spans="1:14" ht="15.75" x14ac:dyDescent="0.25">
      <c r="A353" s="66" t="s">
        <v>40</v>
      </c>
      <c r="B353" s="69" t="s">
        <v>2214</v>
      </c>
      <c r="C353" s="51"/>
      <c r="D353" s="65"/>
      <c r="E353" s="92"/>
      <c r="F353" s="12"/>
      <c r="G353" s="157"/>
      <c r="H353" s="12"/>
      <c r="I353" s="62"/>
      <c r="J353" s="27"/>
      <c r="K353" s="62"/>
      <c r="L353" s="12"/>
      <c r="M353" s="191"/>
      <c r="N353" s="65"/>
    </row>
    <row r="354" spans="1:14" x14ac:dyDescent="0.25">
      <c r="A354" s="63" t="s">
        <v>40</v>
      </c>
      <c r="B354" s="71" t="s">
        <v>1193</v>
      </c>
      <c r="C354" s="2">
        <v>4099854292910</v>
      </c>
      <c r="D354" s="93"/>
      <c r="E354" s="94"/>
      <c r="G354" s="156" t="str">
        <f>HYPERLINK("https://ledvance.com/pt/product-datasheet/318339/301354","Ficha Técnica")</f>
        <v>Ficha Técnica</v>
      </c>
      <c r="H354" s="15">
        <v>5</v>
      </c>
      <c r="I354" s="163"/>
      <c r="J354" s="15"/>
      <c r="K354" s="163"/>
      <c r="L354" s="15"/>
      <c r="M354" s="188">
        <v>16.2</v>
      </c>
      <c r="N354" s="169" t="s">
        <v>11</v>
      </c>
    </row>
    <row r="355" spans="1:14" x14ac:dyDescent="0.25">
      <c r="A355" s="63" t="s">
        <v>40</v>
      </c>
      <c r="B355" s="71" t="s">
        <v>1194</v>
      </c>
      <c r="C355" s="2">
        <v>4099854292934</v>
      </c>
      <c r="D355" s="93"/>
      <c r="E355" s="94"/>
      <c r="G355" s="156" t="str">
        <f>HYPERLINK("https://ledvance.com/pt/product-datasheet/318339/301357","Ficha Técnica")</f>
        <v>Ficha Técnica</v>
      </c>
      <c r="H355" s="15">
        <v>5</v>
      </c>
      <c r="I355" s="163"/>
      <c r="J355" s="15"/>
      <c r="K355" s="163"/>
      <c r="L355" s="15"/>
      <c r="M355" s="188">
        <v>16.2</v>
      </c>
      <c r="N355" s="169" t="s">
        <v>11</v>
      </c>
    </row>
    <row r="356" spans="1:14" x14ac:dyDescent="0.25">
      <c r="A356" s="63" t="s">
        <v>40</v>
      </c>
      <c r="B356" s="72" t="s">
        <v>1195</v>
      </c>
      <c r="C356" s="2">
        <v>4099854292958</v>
      </c>
      <c r="D356" s="93"/>
      <c r="E356" s="94"/>
      <c r="G356" s="156" t="str">
        <f>HYPERLINK("https://ledvance.com/pt/product-datasheet/318339/301360","Ficha Técnica")</f>
        <v>Ficha Técnica</v>
      </c>
      <c r="H356" s="15">
        <v>5</v>
      </c>
      <c r="I356" s="163"/>
      <c r="J356" s="15"/>
      <c r="K356" s="163"/>
      <c r="L356" s="15"/>
      <c r="M356" s="188">
        <v>22.7</v>
      </c>
      <c r="N356" s="169" t="s">
        <v>11</v>
      </c>
    </row>
    <row r="357" spans="1:14" x14ac:dyDescent="0.25">
      <c r="A357" s="63" t="s">
        <v>40</v>
      </c>
      <c r="B357" s="71" t="s">
        <v>1196</v>
      </c>
      <c r="C357" s="2">
        <v>4099854292972</v>
      </c>
      <c r="D357" s="93"/>
      <c r="E357" s="94"/>
      <c r="G357" s="156" t="str">
        <f>HYPERLINK("https://ledvance.com/pt/product-datasheet/318339/301363","Ficha Técnica")</f>
        <v>Ficha Técnica</v>
      </c>
      <c r="H357" s="15">
        <v>5</v>
      </c>
      <c r="I357" s="163"/>
      <c r="J357" s="15"/>
      <c r="K357" s="163"/>
      <c r="L357" s="15"/>
      <c r="M357" s="188">
        <v>22.7</v>
      </c>
      <c r="N357" s="169" t="s">
        <v>11</v>
      </c>
    </row>
    <row r="358" spans="1:14" ht="15.75" x14ac:dyDescent="0.25">
      <c r="A358" s="66" t="s">
        <v>8</v>
      </c>
      <c r="B358" s="69" t="s">
        <v>2205</v>
      </c>
      <c r="C358" s="51"/>
      <c r="D358" s="65"/>
      <c r="E358" s="92"/>
      <c r="F358" s="12"/>
      <c r="G358" s="157"/>
      <c r="H358" s="12"/>
      <c r="I358" s="62"/>
      <c r="J358" s="27"/>
      <c r="K358" s="62"/>
      <c r="L358" s="12"/>
      <c r="M358" s="191"/>
      <c r="N358" s="65"/>
    </row>
    <row r="359" spans="1:14" x14ac:dyDescent="0.25">
      <c r="A359" s="63" t="s">
        <v>8</v>
      </c>
      <c r="B359" s="74" t="s">
        <v>2388</v>
      </c>
      <c r="C359" s="2">
        <v>4099854286087</v>
      </c>
      <c r="D359" s="95" t="s">
        <v>1950</v>
      </c>
      <c r="E359" s="96" t="s">
        <v>1942</v>
      </c>
      <c r="F359" s="15"/>
      <c r="G359" s="156" t="str">
        <f>HYPERLINK("https://ledvance.com/pt/product-datasheet/323855/299293","Ficha Técnica")</f>
        <v>Ficha Técnica</v>
      </c>
      <c r="H359" s="15">
        <v>8</v>
      </c>
      <c r="I359" s="163" t="s">
        <v>1688</v>
      </c>
      <c r="J359" s="15" t="s">
        <v>1689</v>
      </c>
      <c r="K359" s="163" t="s">
        <v>138</v>
      </c>
      <c r="L359" s="15">
        <v>5</v>
      </c>
      <c r="M359" s="188">
        <v>49.6</v>
      </c>
      <c r="N359" s="169" t="s">
        <v>11</v>
      </c>
    </row>
    <row r="360" spans="1:14" x14ac:dyDescent="0.25">
      <c r="A360" s="63" t="s">
        <v>8</v>
      </c>
      <c r="B360" s="74" t="s">
        <v>2389</v>
      </c>
      <c r="C360" s="2">
        <v>4099854286100</v>
      </c>
      <c r="D360" s="95" t="s">
        <v>1951</v>
      </c>
      <c r="E360" s="96" t="s">
        <v>1943</v>
      </c>
      <c r="F360" s="15"/>
      <c r="G360" s="156" t="str">
        <f>HYPERLINK("https://ledvance.com/pt/product-datasheet/323855/299296","Ficha Técnica")</f>
        <v>Ficha Técnica</v>
      </c>
      <c r="H360" s="15">
        <v>8</v>
      </c>
      <c r="I360" s="163" t="s">
        <v>1688</v>
      </c>
      <c r="J360" s="15" t="s">
        <v>1689</v>
      </c>
      <c r="K360" s="163" t="s">
        <v>138</v>
      </c>
      <c r="L360" s="15">
        <v>5</v>
      </c>
      <c r="M360" s="188">
        <v>49.6</v>
      </c>
      <c r="N360" s="169" t="s">
        <v>11</v>
      </c>
    </row>
    <row r="361" spans="1:14" x14ac:dyDescent="0.25">
      <c r="A361" s="63" t="s">
        <v>8</v>
      </c>
      <c r="B361" s="74" t="s">
        <v>2390</v>
      </c>
      <c r="C361" s="2">
        <v>4099854286124</v>
      </c>
      <c r="D361" s="95" t="s">
        <v>1952</v>
      </c>
      <c r="E361" s="96" t="s">
        <v>1944</v>
      </c>
      <c r="F361" s="15"/>
      <c r="G361" s="156" t="str">
        <f>HYPERLINK("https://ledvance.com/pt/product-datasheet/323855/299299","Ficha Técnica")</f>
        <v>Ficha Técnica</v>
      </c>
      <c r="H361" s="15">
        <v>8</v>
      </c>
      <c r="I361" s="163" t="s">
        <v>1690</v>
      </c>
      <c r="J361" s="15" t="s">
        <v>1691</v>
      </c>
      <c r="K361" s="163" t="s">
        <v>138</v>
      </c>
      <c r="L361" s="15">
        <v>5</v>
      </c>
      <c r="M361" s="188">
        <v>70.400000000000006</v>
      </c>
      <c r="N361" s="169" t="s">
        <v>11</v>
      </c>
    </row>
    <row r="362" spans="1:14" x14ac:dyDescent="0.25">
      <c r="A362" s="63" t="s">
        <v>8</v>
      </c>
      <c r="B362" s="74" t="s">
        <v>2391</v>
      </c>
      <c r="C362" s="2">
        <v>4099854286148</v>
      </c>
      <c r="D362" s="95" t="s">
        <v>1953</v>
      </c>
      <c r="E362" s="96" t="s">
        <v>1945</v>
      </c>
      <c r="F362" s="15"/>
      <c r="G362" s="156" t="str">
        <f>HYPERLINK("https://ledvance.com/pt/product-datasheet/323855/299302","Ficha Técnica")</f>
        <v>Ficha Técnica</v>
      </c>
      <c r="H362" s="15">
        <v>8</v>
      </c>
      <c r="I362" s="163" t="s">
        <v>1690</v>
      </c>
      <c r="J362" s="15" t="s">
        <v>1691</v>
      </c>
      <c r="K362" s="163" t="s">
        <v>138</v>
      </c>
      <c r="L362" s="15">
        <v>5</v>
      </c>
      <c r="M362" s="188">
        <v>70.400000000000006</v>
      </c>
      <c r="N362" s="169" t="s">
        <v>11</v>
      </c>
    </row>
    <row r="363" spans="1:14" ht="15.75" x14ac:dyDescent="0.25">
      <c r="A363" s="66" t="s">
        <v>8</v>
      </c>
      <c r="B363" s="69" t="s">
        <v>2204</v>
      </c>
      <c r="C363" s="51"/>
      <c r="D363" s="65"/>
      <c r="E363" s="92"/>
      <c r="F363" s="12"/>
      <c r="G363" s="157"/>
      <c r="H363" s="12"/>
      <c r="I363" s="62"/>
      <c r="J363" s="27"/>
      <c r="K363" s="62"/>
      <c r="L363" s="12"/>
      <c r="M363" s="191"/>
      <c r="N363" s="65"/>
    </row>
    <row r="364" spans="1:14" x14ac:dyDescent="0.25">
      <c r="A364" s="63" t="s">
        <v>8</v>
      </c>
      <c r="B364" s="74" t="s">
        <v>2392</v>
      </c>
      <c r="C364" s="2">
        <v>4099854286162</v>
      </c>
      <c r="D364" s="95" t="s">
        <v>1954</v>
      </c>
      <c r="E364" s="96" t="s">
        <v>1946</v>
      </c>
      <c r="F364" s="15"/>
      <c r="G364" s="156" t="str">
        <f>HYPERLINK("https://ledvance.com/pt/product-datasheet/323856/299305","Ficha Técnica")</f>
        <v>Ficha Técnica</v>
      </c>
      <c r="H364" s="15">
        <v>8</v>
      </c>
      <c r="I364" s="163" t="s">
        <v>1688</v>
      </c>
      <c r="J364" s="15" t="s">
        <v>1692</v>
      </c>
      <c r="K364" s="163" t="s">
        <v>138</v>
      </c>
      <c r="L364" s="15">
        <v>5</v>
      </c>
      <c r="M364" s="188">
        <v>72.3</v>
      </c>
      <c r="N364" s="169" t="s">
        <v>11</v>
      </c>
    </row>
    <row r="365" spans="1:14" x14ac:dyDescent="0.25">
      <c r="A365" s="63" t="s">
        <v>8</v>
      </c>
      <c r="B365" s="74" t="s">
        <v>2393</v>
      </c>
      <c r="C365" s="2">
        <v>4099854286186</v>
      </c>
      <c r="D365" s="95" t="s">
        <v>1955</v>
      </c>
      <c r="E365" s="96" t="s">
        <v>1947</v>
      </c>
      <c r="F365" s="15"/>
      <c r="G365" s="156" t="str">
        <f>HYPERLINK("https://ledvance.com/pt/product-datasheet/323856/299308","Ficha Técnica")</f>
        <v>Ficha Técnica</v>
      </c>
      <c r="H365" s="15">
        <v>8</v>
      </c>
      <c r="I365" s="163" t="s">
        <v>1688</v>
      </c>
      <c r="J365" s="15" t="s">
        <v>1692</v>
      </c>
      <c r="K365" s="163" t="s">
        <v>138</v>
      </c>
      <c r="L365" s="15">
        <v>5</v>
      </c>
      <c r="M365" s="188">
        <v>72.3</v>
      </c>
      <c r="N365" s="169" t="s">
        <v>11</v>
      </c>
    </row>
    <row r="366" spans="1:14" x14ac:dyDescent="0.25">
      <c r="A366" s="63" t="s">
        <v>8</v>
      </c>
      <c r="B366" s="74" t="s">
        <v>2394</v>
      </c>
      <c r="C366" s="2">
        <v>4099854286209</v>
      </c>
      <c r="D366" s="95" t="s">
        <v>1956</v>
      </c>
      <c r="E366" s="96" t="s">
        <v>1948</v>
      </c>
      <c r="F366" s="15"/>
      <c r="G366" s="156" t="str">
        <f>HYPERLINK("https://ledvance.com/pt/product-datasheet/323856/299311","Ficha Técnica")</f>
        <v>Ficha Técnica</v>
      </c>
      <c r="H366" s="15">
        <v>8</v>
      </c>
      <c r="I366" s="163" t="s">
        <v>1693</v>
      </c>
      <c r="J366" s="15" t="s">
        <v>1694</v>
      </c>
      <c r="K366" s="163" t="s">
        <v>138</v>
      </c>
      <c r="L366" s="15">
        <v>5</v>
      </c>
      <c r="M366" s="188">
        <v>89.4</v>
      </c>
      <c r="N366" s="169" t="s">
        <v>11</v>
      </c>
    </row>
    <row r="367" spans="1:14" x14ac:dyDescent="0.25">
      <c r="A367" s="63" t="s">
        <v>8</v>
      </c>
      <c r="B367" s="74" t="s">
        <v>2395</v>
      </c>
      <c r="C367" s="2">
        <v>4099854286247</v>
      </c>
      <c r="D367" s="95" t="s">
        <v>1957</v>
      </c>
      <c r="E367" s="96" t="s">
        <v>1949</v>
      </c>
      <c r="F367" s="15"/>
      <c r="G367" s="156" t="str">
        <f>HYPERLINK("https://ledvance.com/pt/product-datasheet/323856/299314","Ficha Técnica")</f>
        <v>Ficha Técnica</v>
      </c>
      <c r="H367" s="15">
        <v>8</v>
      </c>
      <c r="I367" s="163" t="s">
        <v>1693</v>
      </c>
      <c r="J367" s="15" t="s">
        <v>1694</v>
      </c>
      <c r="K367" s="163" t="s">
        <v>138</v>
      </c>
      <c r="L367" s="15">
        <v>5</v>
      </c>
      <c r="M367" s="188">
        <v>89.4</v>
      </c>
      <c r="N367" s="169" t="s">
        <v>11</v>
      </c>
    </row>
    <row r="368" spans="1:14" ht="15.75" x14ac:dyDescent="0.25">
      <c r="A368" s="66" t="s">
        <v>8</v>
      </c>
      <c r="B368" s="69" t="s">
        <v>2203</v>
      </c>
      <c r="C368" s="51"/>
      <c r="D368" s="65"/>
      <c r="E368" s="92"/>
      <c r="F368" s="12"/>
      <c r="G368" s="157"/>
      <c r="H368" s="12"/>
      <c r="I368" s="62"/>
      <c r="J368" s="27"/>
      <c r="K368" s="62"/>
      <c r="L368" s="12"/>
      <c r="M368" s="191"/>
      <c r="N368" s="65"/>
    </row>
    <row r="369" spans="1:14" x14ac:dyDescent="0.25">
      <c r="A369" s="63" t="s">
        <v>8</v>
      </c>
      <c r="B369" s="74" t="s">
        <v>2396</v>
      </c>
      <c r="C369" s="2">
        <v>4099854286285</v>
      </c>
      <c r="D369" s="95" t="s">
        <v>1958</v>
      </c>
      <c r="E369" s="96" t="s">
        <v>2397</v>
      </c>
      <c r="F369" s="15"/>
      <c r="G369" s="156" t="str">
        <f>HYPERLINK("","Ficha Técnica")</f>
        <v>Ficha Técnica</v>
      </c>
      <c r="H369" s="15"/>
      <c r="I369" s="163"/>
      <c r="J369" s="15"/>
      <c r="K369" s="163"/>
      <c r="L369" s="15"/>
      <c r="M369" s="188">
        <v>243.6</v>
      </c>
      <c r="N369" s="169" t="s">
        <v>11</v>
      </c>
    </row>
    <row r="370" spans="1:14" x14ac:dyDescent="0.25">
      <c r="A370" s="63" t="s">
        <v>8</v>
      </c>
      <c r="B370" s="74" t="s">
        <v>2398</v>
      </c>
      <c r="C370" s="2">
        <v>4099854286346</v>
      </c>
      <c r="D370" s="95" t="s">
        <v>1959</v>
      </c>
      <c r="E370" s="96" t="s">
        <v>2399</v>
      </c>
      <c r="F370" s="15"/>
      <c r="G370" s="156" t="str">
        <f>HYPERLINK("","Ficha Técnica")</f>
        <v>Ficha Técnica</v>
      </c>
      <c r="H370" s="15"/>
      <c r="I370" s="163"/>
      <c r="J370" s="15"/>
      <c r="K370" s="163"/>
      <c r="L370" s="15"/>
      <c r="M370" s="188">
        <v>243.6</v>
      </c>
      <c r="N370" s="169" t="s">
        <v>11</v>
      </c>
    </row>
    <row r="371" spans="1:14" x14ac:dyDescent="0.25">
      <c r="A371" s="63" t="s">
        <v>8</v>
      </c>
      <c r="B371" s="74" t="s">
        <v>2400</v>
      </c>
      <c r="C371" s="2">
        <v>4099854286384</v>
      </c>
      <c r="D371" s="95" t="s">
        <v>1960</v>
      </c>
      <c r="E371" s="96" t="s">
        <v>2401</v>
      </c>
      <c r="F371" s="15"/>
      <c r="G371" s="156" t="str">
        <f>HYPERLINK("","Ficha Técnica")</f>
        <v>Ficha Técnica</v>
      </c>
      <c r="H371" s="15"/>
      <c r="I371" s="163"/>
      <c r="J371" s="15"/>
      <c r="K371" s="163"/>
      <c r="L371" s="15"/>
      <c r="M371" s="188">
        <v>255</v>
      </c>
      <c r="N371" s="169" t="s">
        <v>11</v>
      </c>
    </row>
    <row r="372" spans="1:14" x14ac:dyDescent="0.25">
      <c r="A372" s="63" t="s">
        <v>8</v>
      </c>
      <c r="B372" s="74" t="s">
        <v>2402</v>
      </c>
      <c r="C372" s="2">
        <v>4099854286407</v>
      </c>
      <c r="D372" s="95" t="s">
        <v>1961</v>
      </c>
      <c r="E372" s="96" t="s">
        <v>2403</v>
      </c>
      <c r="F372" s="15"/>
      <c r="G372" s="156" t="str">
        <f>HYPERLINK("","Ficha Técnica")</f>
        <v>Ficha Técnica</v>
      </c>
      <c r="H372" s="15"/>
      <c r="I372" s="163"/>
      <c r="J372" s="15"/>
      <c r="K372" s="163"/>
      <c r="L372" s="15"/>
      <c r="M372" s="188">
        <v>255</v>
      </c>
      <c r="N372" s="169" t="s">
        <v>11</v>
      </c>
    </row>
    <row r="373" spans="1:14" ht="15.75" x14ac:dyDescent="0.25">
      <c r="A373" s="66" t="s">
        <v>8</v>
      </c>
      <c r="B373" s="69" t="s">
        <v>2093</v>
      </c>
      <c r="C373" s="51"/>
      <c r="D373" s="65"/>
      <c r="E373" s="92"/>
      <c r="F373" s="12"/>
      <c r="G373" s="157"/>
      <c r="H373" s="12"/>
      <c r="I373" s="62"/>
      <c r="J373" s="27"/>
      <c r="K373" s="62"/>
      <c r="L373" s="12"/>
      <c r="M373" s="191"/>
      <c r="N373" s="65"/>
    </row>
    <row r="374" spans="1:14" x14ac:dyDescent="0.25">
      <c r="A374" s="63" t="s">
        <v>8</v>
      </c>
      <c r="B374" s="74" t="s">
        <v>2404</v>
      </c>
      <c r="C374" s="2">
        <v>4099854286421</v>
      </c>
      <c r="D374" s="95" t="s">
        <v>1962</v>
      </c>
      <c r="E374" s="96" t="s">
        <v>2405</v>
      </c>
      <c r="F374" s="15"/>
      <c r="G374" s="156" t="str">
        <f>HYPERLINK("","Ficha Técnica")</f>
        <v>Ficha Técnica</v>
      </c>
      <c r="H374" s="15"/>
      <c r="I374" s="163"/>
      <c r="J374" s="15"/>
      <c r="K374" s="163"/>
      <c r="L374" s="15"/>
      <c r="M374" s="188">
        <v>266.5</v>
      </c>
      <c r="N374" s="169" t="s">
        <v>11</v>
      </c>
    </row>
    <row r="375" spans="1:14" x14ac:dyDescent="0.25">
      <c r="A375" s="63" t="s">
        <v>8</v>
      </c>
      <c r="B375" s="74" t="s">
        <v>2406</v>
      </c>
      <c r="C375" s="2">
        <v>4099854286506</v>
      </c>
      <c r="D375" s="95" t="s">
        <v>1963</v>
      </c>
      <c r="E375" s="96" t="s">
        <v>2407</v>
      </c>
      <c r="F375" s="15"/>
      <c r="G375" s="156" t="str">
        <f>HYPERLINK("","Ficha Técnica")</f>
        <v>Ficha Técnica</v>
      </c>
      <c r="H375" s="15"/>
      <c r="I375" s="163"/>
      <c r="J375" s="15"/>
      <c r="K375" s="163"/>
      <c r="L375" s="15"/>
      <c r="M375" s="188">
        <v>266.5</v>
      </c>
      <c r="N375" s="169" t="s">
        <v>11</v>
      </c>
    </row>
    <row r="376" spans="1:14" x14ac:dyDescent="0.25">
      <c r="A376" s="63" t="s">
        <v>8</v>
      </c>
      <c r="B376" s="74" t="s">
        <v>2408</v>
      </c>
      <c r="C376" s="2">
        <v>4099854286520</v>
      </c>
      <c r="D376" s="95" t="s">
        <v>1964</v>
      </c>
      <c r="E376" s="96" t="s">
        <v>2409</v>
      </c>
      <c r="F376" s="15"/>
      <c r="G376" s="156" t="str">
        <f>HYPERLINK("","Ficha Técnica")</f>
        <v>Ficha Técnica</v>
      </c>
      <c r="H376" s="15"/>
      <c r="I376" s="163"/>
      <c r="J376" s="15"/>
      <c r="K376" s="163"/>
      <c r="L376" s="15"/>
      <c r="M376" s="188">
        <v>274</v>
      </c>
      <c r="N376" s="169" t="s">
        <v>11</v>
      </c>
    </row>
    <row r="377" spans="1:14" x14ac:dyDescent="0.25">
      <c r="A377" s="63" t="s">
        <v>8</v>
      </c>
      <c r="B377" s="74" t="s">
        <v>2410</v>
      </c>
      <c r="C377" s="2">
        <v>4099854286544</v>
      </c>
      <c r="D377" s="95" t="s">
        <v>1965</v>
      </c>
      <c r="E377" s="96" t="s">
        <v>2411</v>
      </c>
      <c r="F377" s="15"/>
      <c r="G377" s="156" t="str">
        <f>HYPERLINK("","Ficha Técnica")</f>
        <v>Ficha Técnica</v>
      </c>
      <c r="H377" s="15"/>
      <c r="I377" s="163"/>
      <c r="J377" s="15"/>
      <c r="K377" s="163"/>
      <c r="L377" s="15"/>
      <c r="M377" s="188">
        <v>274</v>
      </c>
      <c r="N377" s="169" t="s">
        <v>11</v>
      </c>
    </row>
    <row r="378" spans="1:14" ht="15.75" x14ac:dyDescent="0.25">
      <c r="A378" s="66" t="s">
        <v>40</v>
      </c>
      <c r="B378" s="69" t="s">
        <v>2206</v>
      </c>
      <c r="C378" s="51"/>
      <c r="D378" s="65"/>
      <c r="E378" s="92"/>
      <c r="F378" s="12"/>
      <c r="G378" s="157"/>
      <c r="H378" s="12"/>
      <c r="I378" s="62"/>
      <c r="J378" s="27"/>
      <c r="K378" s="62"/>
      <c r="L378" s="12"/>
      <c r="M378" s="191"/>
      <c r="N378" s="65"/>
    </row>
    <row r="379" spans="1:14" x14ac:dyDescent="0.25">
      <c r="A379" s="63" t="s">
        <v>40</v>
      </c>
      <c r="B379" s="71" t="s">
        <v>2412</v>
      </c>
      <c r="C379" s="2">
        <v>4099854311918</v>
      </c>
      <c r="D379" s="93"/>
      <c r="E379" s="94"/>
      <c r="G379" s="156" t="str">
        <f>HYPERLINK("https://ledvance.com/pt/product-datasheet/323860/308538","Ficha Técnica")</f>
        <v>Ficha Técnica</v>
      </c>
      <c r="H379" s="15">
        <v>8</v>
      </c>
      <c r="I379" s="163">
        <v>1220</v>
      </c>
      <c r="J379" s="15">
        <v>8</v>
      </c>
      <c r="K379" s="163" t="s">
        <v>46</v>
      </c>
      <c r="L379" s="15">
        <v>5</v>
      </c>
      <c r="M379" s="188">
        <v>26.5</v>
      </c>
      <c r="N379" s="169" t="s">
        <v>11</v>
      </c>
    </row>
    <row r="380" spans="1:14" x14ac:dyDescent="0.25">
      <c r="A380" s="63" t="s">
        <v>40</v>
      </c>
      <c r="B380" s="72" t="s">
        <v>2413</v>
      </c>
      <c r="C380" s="2">
        <v>4099854311970</v>
      </c>
      <c r="D380" s="93"/>
      <c r="E380" s="94"/>
      <c r="G380" s="156" t="str">
        <f>HYPERLINK("https://ledvance.com/pt/product-datasheet/323860/308541","Ficha Técnica")</f>
        <v>Ficha Técnica</v>
      </c>
      <c r="H380" s="15">
        <v>8</v>
      </c>
      <c r="I380" s="163">
        <v>2270</v>
      </c>
      <c r="J380" s="15">
        <v>15</v>
      </c>
      <c r="K380" s="163" t="s">
        <v>46</v>
      </c>
      <c r="L380" s="15">
        <v>5</v>
      </c>
      <c r="M380" s="188">
        <v>38.700000000000003</v>
      </c>
      <c r="N380" s="169" t="s">
        <v>11</v>
      </c>
    </row>
    <row r="381" spans="1:14" x14ac:dyDescent="0.25">
      <c r="A381" s="63" t="s">
        <v>103</v>
      </c>
      <c r="B381" s="71" t="s">
        <v>1206</v>
      </c>
      <c r="C381" s="2">
        <v>4099854286834</v>
      </c>
      <c r="D381" s="93"/>
      <c r="E381" s="94"/>
      <c r="G381" s="156" t="str">
        <f>HYPERLINK("https://ledvance.com/pt/product-datasheet/323859/299473","Ficha Técnica")</f>
        <v>Ficha Técnica</v>
      </c>
      <c r="H381" s="15">
        <v>160</v>
      </c>
      <c r="I381" s="163"/>
      <c r="J381" s="15">
        <v>10</v>
      </c>
      <c r="K381" s="163" t="s">
        <v>46</v>
      </c>
      <c r="L381" s="15">
        <v>5</v>
      </c>
      <c r="M381" s="188">
        <v>16.8</v>
      </c>
      <c r="N381" s="169" t="s">
        <v>11</v>
      </c>
    </row>
    <row r="382" spans="1:14" x14ac:dyDescent="0.25">
      <c r="A382" s="63" t="s">
        <v>103</v>
      </c>
      <c r="B382" s="72" t="s">
        <v>1207</v>
      </c>
      <c r="C382" s="2">
        <v>4099854286858</v>
      </c>
      <c r="D382" s="93"/>
      <c r="E382" s="94"/>
      <c r="G382" s="156" t="str">
        <f>HYPERLINK("https://ledvance.com/pt/product-datasheet/323859/299476","Ficha Técnica")</f>
        <v>Ficha Técnica</v>
      </c>
      <c r="H382" s="15">
        <v>160</v>
      </c>
      <c r="I382" s="163"/>
      <c r="J382" s="15">
        <v>19</v>
      </c>
      <c r="K382" s="163" t="s">
        <v>46</v>
      </c>
      <c r="L382" s="15">
        <v>5</v>
      </c>
      <c r="M382" s="188">
        <v>19.399999999999999</v>
      </c>
      <c r="N382" s="169" t="s">
        <v>11</v>
      </c>
    </row>
    <row r="383" spans="1:14" ht="15.75" x14ac:dyDescent="0.25">
      <c r="A383" s="66" t="s">
        <v>40</v>
      </c>
      <c r="B383" s="69" t="s">
        <v>2158</v>
      </c>
      <c r="C383" s="51"/>
      <c r="D383" s="65"/>
      <c r="E383" s="92"/>
      <c r="F383" s="20"/>
      <c r="G383" s="157"/>
      <c r="H383" s="12"/>
      <c r="I383" s="62"/>
      <c r="J383" s="27"/>
      <c r="K383" s="62"/>
      <c r="L383" s="12"/>
      <c r="M383" s="191"/>
      <c r="N383" s="65"/>
    </row>
    <row r="384" spans="1:14" x14ac:dyDescent="0.25">
      <c r="A384" s="63" t="s">
        <v>40</v>
      </c>
      <c r="B384" s="71" t="s">
        <v>1202</v>
      </c>
      <c r="C384" s="2">
        <v>4099854286759</v>
      </c>
      <c r="D384" s="95">
        <v>4058075375505</v>
      </c>
      <c r="E384" s="96" t="s">
        <v>149</v>
      </c>
      <c r="F384" s="15"/>
      <c r="G384" s="156" t="str">
        <f>HYPERLINK("https://ledvance.com/pt/product-datasheet/323858/299349","Ficha Técnica")</f>
        <v>Ficha Técnica</v>
      </c>
      <c r="H384" s="15">
        <v>8</v>
      </c>
      <c r="I384" s="163"/>
      <c r="J384" s="15"/>
      <c r="K384" s="163"/>
      <c r="L384" s="15">
        <v>5</v>
      </c>
      <c r="M384" s="188">
        <v>16.2</v>
      </c>
      <c r="N384" s="169" t="s">
        <v>11</v>
      </c>
    </row>
    <row r="385" spans="1:14" x14ac:dyDescent="0.25">
      <c r="A385" s="63" t="s">
        <v>40</v>
      </c>
      <c r="B385" s="71" t="s">
        <v>1203</v>
      </c>
      <c r="C385" s="2">
        <v>4099854286773</v>
      </c>
      <c r="D385" s="95">
        <v>4058075375482</v>
      </c>
      <c r="E385" s="96" t="s">
        <v>148</v>
      </c>
      <c r="G385" s="156" t="str">
        <f>HYPERLINK("https://ledvance.com/pt/product-datasheet/323858/299352","Ficha Técnica")</f>
        <v>Ficha Técnica</v>
      </c>
      <c r="H385" s="15">
        <v>8</v>
      </c>
      <c r="I385" s="163"/>
      <c r="J385" s="15"/>
      <c r="K385" s="163"/>
      <c r="L385" s="15">
        <v>5</v>
      </c>
      <c r="M385" s="188">
        <v>16.2</v>
      </c>
      <c r="N385" s="169" t="s">
        <v>11</v>
      </c>
    </row>
    <row r="386" spans="1:14" x14ac:dyDescent="0.25">
      <c r="A386" s="63" t="s">
        <v>40</v>
      </c>
      <c r="B386" s="71" t="s">
        <v>1204</v>
      </c>
      <c r="C386" s="2">
        <v>4099854286797</v>
      </c>
      <c r="D386" s="95">
        <v>4058075375543</v>
      </c>
      <c r="E386" s="96" t="s">
        <v>151</v>
      </c>
      <c r="G386" s="156" t="str">
        <f>HYPERLINK("https://ledvance.com/pt/product-datasheet/323858/299356","Ficha Técnica")</f>
        <v>Ficha Técnica</v>
      </c>
      <c r="H386" s="15">
        <v>8</v>
      </c>
      <c r="I386" s="163"/>
      <c r="J386" s="15"/>
      <c r="K386" s="163"/>
      <c r="L386" s="15">
        <v>5</v>
      </c>
      <c r="M386" s="188">
        <v>19.5</v>
      </c>
      <c r="N386" s="169" t="s">
        <v>11</v>
      </c>
    </row>
    <row r="387" spans="1:14" x14ac:dyDescent="0.25">
      <c r="A387" s="63" t="s">
        <v>40</v>
      </c>
      <c r="B387" s="71" t="s">
        <v>1205</v>
      </c>
      <c r="C387" s="2">
        <v>4099854286810</v>
      </c>
      <c r="D387" s="95">
        <v>4058075375529</v>
      </c>
      <c r="E387" s="96" t="s">
        <v>150</v>
      </c>
      <c r="G387" s="156" t="str">
        <f>HYPERLINK("https://ledvance.com/pt/product-datasheet/323858/299386","Ficha Técnica")</f>
        <v>Ficha Técnica</v>
      </c>
      <c r="H387" s="15">
        <v>8</v>
      </c>
      <c r="I387" s="163"/>
      <c r="J387" s="15"/>
      <c r="K387" s="163"/>
      <c r="L387" s="15">
        <v>5</v>
      </c>
      <c r="M387" s="188">
        <v>19.5</v>
      </c>
      <c r="N387" s="169" t="s">
        <v>11</v>
      </c>
    </row>
    <row r="388" spans="1:14" x14ac:dyDescent="0.25">
      <c r="A388" s="66" t="s">
        <v>8</v>
      </c>
      <c r="B388" s="69" t="s">
        <v>2019</v>
      </c>
      <c r="C388" s="51"/>
      <c r="D388" s="65"/>
      <c r="E388" s="92"/>
      <c r="F388" s="20"/>
      <c r="G388" s="157"/>
      <c r="H388" s="12"/>
      <c r="I388" s="62"/>
      <c r="J388" s="27"/>
      <c r="K388" s="62"/>
      <c r="L388" s="12"/>
      <c r="M388" s="191"/>
      <c r="N388" s="65"/>
    </row>
    <row r="389" spans="1:14" x14ac:dyDescent="0.25">
      <c r="A389" s="63" t="s">
        <v>8</v>
      </c>
      <c r="B389" s="71" t="s">
        <v>2414</v>
      </c>
      <c r="C389" s="2">
        <v>4099854480997</v>
      </c>
      <c r="D389" s="95"/>
      <c r="E389" s="96"/>
      <c r="G389" s="156" t="str">
        <f>HYPERLINK("https://ledvance.com/pt/product-datasheet/356211/349822","Ficha Técnica")</f>
        <v>Ficha Técnica</v>
      </c>
      <c r="H389" s="15" t="s">
        <v>2099</v>
      </c>
      <c r="I389" s="163" t="s">
        <v>3997</v>
      </c>
      <c r="J389" s="15" t="s">
        <v>3969</v>
      </c>
      <c r="K389" s="163" t="s">
        <v>138</v>
      </c>
      <c r="L389" s="15">
        <v>5</v>
      </c>
      <c r="M389" s="188">
        <v>32.1</v>
      </c>
      <c r="N389" s="169" t="s">
        <v>11</v>
      </c>
    </row>
    <row r="390" spans="1:14" x14ac:dyDescent="0.25">
      <c r="A390" s="63" t="s">
        <v>8</v>
      </c>
      <c r="B390" s="71" t="s">
        <v>2415</v>
      </c>
      <c r="C390" s="2">
        <v>4099854481055</v>
      </c>
      <c r="D390" s="95"/>
      <c r="E390" s="96"/>
      <c r="G390" s="156" t="str">
        <f>HYPERLINK("https://ledvance.com/pt/product-datasheet/356217/349828","Ficha Técnica")</f>
        <v>Ficha Técnica</v>
      </c>
      <c r="H390" s="15" t="s">
        <v>2101</v>
      </c>
      <c r="I390" s="163"/>
      <c r="J390" s="15" t="s">
        <v>3970</v>
      </c>
      <c r="K390" s="163" t="s">
        <v>46</v>
      </c>
      <c r="L390" s="15">
        <v>5</v>
      </c>
      <c r="M390" s="188">
        <v>24.5</v>
      </c>
      <c r="N390" s="169" t="s">
        <v>11</v>
      </c>
    </row>
    <row r="391" spans="1:14" x14ac:dyDescent="0.25">
      <c r="A391" s="66" t="s">
        <v>40</v>
      </c>
      <c r="B391" s="69" t="s">
        <v>2108</v>
      </c>
      <c r="C391" s="51"/>
      <c r="D391" s="65"/>
      <c r="E391" s="92"/>
      <c r="F391" s="20"/>
      <c r="G391" s="157"/>
      <c r="H391" s="12"/>
      <c r="I391" s="62"/>
      <c r="J391" s="27"/>
      <c r="K391" s="62"/>
      <c r="L391" s="12"/>
      <c r="M391" s="191"/>
      <c r="N391" s="65"/>
    </row>
    <row r="392" spans="1:14" x14ac:dyDescent="0.25">
      <c r="A392" s="63" t="s">
        <v>40</v>
      </c>
      <c r="B392" s="71" t="s">
        <v>2020</v>
      </c>
      <c r="C392" s="2">
        <v>4099854481031</v>
      </c>
      <c r="D392" s="95"/>
      <c r="E392" s="96"/>
      <c r="G392" s="156" t="str">
        <f>HYPERLINK("https://ledvance.com/pt/product-datasheet/356220/349825","Ficha Técnica")</f>
        <v>Ficha Técnica</v>
      </c>
      <c r="H392" s="15" t="s">
        <v>2099</v>
      </c>
      <c r="I392" s="163"/>
      <c r="J392" s="15"/>
      <c r="K392" s="163"/>
      <c r="L392" s="15">
        <v>5</v>
      </c>
      <c r="M392" s="188">
        <v>6.7</v>
      </c>
      <c r="N392" s="169" t="s">
        <v>11</v>
      </c>
    </row>
    <row r="393" spans="1:14" x14ac:dyDescent="0.25">
      <c r="A393" s="63" t="s">
        <v>40</v>
      </c>
      <c r="B393" s="71" t="s">
        <v>2021</v>
      </c>
      <c r="C393" s="2">
        <v>4099854481093</v>
      </c>
      <c r="D393" s="95"/>
      <c r="E393" s="96"/>
      <c r="G393" s="156" t="str">
        <f>HYPERLINK("https://ledvance.com/pt/product-datasheet/356216/349831","Ficha Técnica")</f>
        <v>Ficha Técnica</v>
      </c>
      <c r="H393" s="15" t="s">
        <v>2102</v>
      </c>
      <c r="I393" s="163"/>
      <c r="J393" s="15" t="s">
        <v>3971</v>
      </c>
      <c r="K393" s="163" t="s">
        <v>46</v>
      </c>
      <c r="L393" s="15">
        <v>5</v>
      </c>
      <c r="M393" s="188">
        <v>17.600000000000001</v>
      </c>
      <c r="N393" s="169" t="s">
        <v>11</v>
      </c>
    </row>
    <row r="394" spans="1:14" x14ac:dyDescent="0.25">
      <c r="A394" s="66" t="s">
        <v>8</v>
      </c>
      <c r="B394" s="69" t="s">
        <v>1201</v>
      </c>
      <c r="C394" s="51"/>
      <c r="D394" s="65"/>
      <c r="E394" s="92"/>
      <c r="F394" s="12"/>
      <c r="G394" s="157"/>
      <c r="H394" s="12"/>
      <c r="I394" s="62"/>
      <c r="J394" s="27"/>
      <c r="K394" s="62"/>
      <c r="L394" s="12"/>
      <c r="M394" s="191"/>
      <c r="N394" s="65"/>
    </row>
    <row r="395" spans="1:14" x14ac:dyDescent="0.25">
      <c r="A395" s="63" t="s">
        <v>8</v>
      </c>
      <c r="B395" s="71" t="s">
        <v>2416</v>
      </c>
      <c r="C395" s="2">
        <v>4099854290480</v>
      </c>
      <c r="D395" s="93"/>
      <c r="E395" s="94"/>
      <c r="G395" s="156" t="str">
        <f>HYPERLINK("https://ledvance.com/pt/product-datasheet/309551/301065","Ficha Técnica")</f>
        <v>Ficha Técnica</v>
      </c>
      <c r="H395" s="15">
        <v>6</v>
      </c>
      <c r="I395" s="163" t="s">
        <v>1695</v>
      </c>
      <c r="J395" s="15" t="s">
        <v>4007</v>
      </c>
      <c r="K395" s="163" t="s">
        <v>138</v>
      </c>
      <c r="L395" s="15">
        <v>5</v>
      </c>
      <c r="M395" s="188">
        <v>41.4</v>
      </c>
      <c r="N395" s="169" t="s">
        <v>11</v>
      </c>
    </row>
    <row r="396" spans="1:14" x14ac:dyDescent="0.25">
      <c r="A396" s="63" t="s">
        <v>8</v>
      </c>
      <c r="B396" s="71" t="s">
        <v>2417</v>
      </c>
      <c r="C396" s="2">
        <v>4099854290503</v>
      </c>
      <c r="D396" s="93"/>
      <c r="E396" s="94"/>
      <c r="G396" s="156" t="str">
        <f>HYPERLINK("https://ledvance.com/pt/product-datasheet/309551/301068","Ficha Técnica")</f>
        <v>Ficha Técnica</v>
      </c>
      <c r="H396" s="15">
        <v>6</v>
      </c>
      <c r="I396" s="163" t="s">
        <v>1695</v>
      </c>
      <c r="J396" s="15" t="s">
        <v>4007</v>
      </c>
      <c r="K396" s="163" t="s">
        <v>138</v>
      </c>
      <c r="L396" s="15">
        <v>5</v>
      </c>
      <c r="M396" s="188">
        <v>41.4</v>
      </c>
      <c r="N396" s="169" t="s">
        <v>11</v>
      </c>
    </row>
    <row r="397" spans="1:14" x14ac:dyDescent="0.25">
      <c r="A397" s="63" t="s">
        <v>8</v>
      </c>
      <c r="B397" s="72" t="s">
        <v>2418</v>
      </c>
      <c r="C397" s="2">
        <v>4099854290527</v>
      </c>
      <c r="D397" s="93"/>
      <c r="E397" s="94"/>
      <c r="G397" s="156" t="str">
        <f>HYPERLINK("https://ledvance.com/pt/product-datasheet/309553/301071","Ficha Técnica")</f>
        <v>Ficha Técnica</v>
      </c>
      <c r="H397" s="15">
        <v>6</v>
      </c>
      <c r="I397" s="163" t="s">
        <v>1695</v>
      </c>
      <c r="J397" s="15" t="s">
        <v>4008</v>
      </c>
      <c r="K397" s="163" t="s">
        <v>138</v>
      </c>
      <c r="L397" s="15">
        <v>5</v>
      </c>
      <c r="M397" s="188">
        <v>72.8</v>
      </c>
      <c r="N397" s="169" t="s">
        <v>11</v>
      </c>
    </row>
    <row r="398" spans="1:14" x14ac:dyDescent="0.25">
      <c r="A398" s="63" t="s">
        <v>8</v>
      </c>
      <c r="B398" s="71" t="s">
        <v>2419</v>
      </c>
      <c r="C398" s="2">
        <v>4099854290602</v>
      </c>
      <c r="D398" s="93"/>
      <c r="E398" s="94"/>
      <c r="G398" s="156" t="str">
        <f>HYPERLINK("https://ledvance.com/pt/product-datasheet/309553/301074","Ficha Técnica")</f>
        <v>Ficha Técnica</v>
      </c>
      <c r="H398" s="15">
        <v>6</v>
      </c>
      <c r="I398" s="163" t="s">
        <v>1695</v>
      </c>
      <c r="J398" s="15" t="s">
        <v>4008</v>
      </c>
      <c r="K398" s="163" t="s">
        <v>138</v>
      </c>
      <c r="L398" s="15">
        <v>5</v>
      </c>
      <c r="M398" s="188">
        <v>72.8</v>
      </c>
      <c r="N398" s="169" t="s">
        <v>11</v>
      </c>
    </row>
    <row r="399" spans="1:14" x14ac:dyDescent="0.25">
      <c r="A399" s="63" t="s">
        <v>8</v>
      </c>
      <c r="B399" s="71" t="s">
        <v>2420</v>
      </c>
      <c r="C399" s="2">
        <v>4099854290664</v>
      </c>
      <c r="D399" s="93"/>
      <c r="E399" s="94"/>
      <c r="G399" s="156" t="str">
        <f>HYPERLINK("","Ficha Técnica")</f>
        <v>Ficha Técnica</v>
      </c>
      <c r="H399" s="15"/>
      <c r="I399" s="163"/>
      <c r="J399" s="15"/>
      <c r="K399" s="163"/>
      <c r="L399" s="15"/>
      <c r="M399" s="188">
        <v>187.8</v>
      </c>
      <c r="N399" s="169" t="s">
        <v>11</v>
      </c>
    </row>
    <row r="400" spans="1:14" x14ac:dyDescent="0.25">
      <c r="A400" s="63" t="s">
        <v>8</v>
      </c>
      <c r="B400" s="71" t="s">
        <v>2421</v>
      </c>
      <c r="C400" s="2">
        <v>4099854290688</v>
      </c>
      <c r="D400" s="93"/>
      <c r="E400" s="94"/>
      <c r="G400" s="156" t="str">
        <f>HYPERLINK("","Ficha Técnica")</f>
        <v>Ficha Técnica</v>
      </c>
      <c r="H400" s="15"/>
      <c r="I400" s="163"/>
      <c r="J400" s="15"/>
      <c r="K400" s="163"/>
      <c r="L400" s="15"/>
      <c r="M400" s="188">
        <v>187.8</v>
      </c>
      <c r="N400" s="169" t="s">
        <v>11</v>
      </c>
    </row>
    <row r="401" spans="1:14" x14ac:dyDescent="0.25">
      <c r="A401" s="63" t="s">
        <v>8</v>
      </c>
      <c r="B401" s="72" t="s">
        <v>2422</v>
      </c>
      <c r="C401" s="2">
        <v>4099854290701</v>
      </c>
      <c r="D401" s="93"/>
      <c r="E401" s="94"/>
      <c r="G401" s="156" t="str">
        <f>HYPERLINK("","Ficha Técnica")</f>
        <v>Ficha Técnica</v>
      </c>
      <c r="H401" s="15"/>
      <c r="I401" s="163"/>
      <c r="J401" s="15"/>
      <c r="K401" s="163"/>
      <c r="L401" s="15"/>
      <c r="M401" s="188">
        <v>230.8</v>
      </c>
      <c r="N401" s="169" t="s">
        <v>11</v>
      </c>
    </row>
    <row r="402" spans="1:14" x14ac:dyDescent="0.25">
      <c r="A402" s="63" t="s">
        <v>8</v>
      </c>
      <c r="B402" s="71" t="s">
        <v>2423</v>
      </c>
      <c r="C402" s="2">
        <v>4099854290725</v>
      </c>
      <c r="D402" s="93"/>
      <c r="E402" s="94"/>
      <c r="G402" s="156" t="str">
        <f>HYPERLINK("","Ficha Técnica")</f>
        <v>Ficha Técnica</v>
      </c>
      <c r="H402" s="15"/>
      <c r="I402" s="163"/>
      <c r="J402" s="15"/>
      <c r="K402" s="163"/>
      <c r="L402" s="15"/>
      <c r="M402" s="188">
        <v>230.8</v>
      </c>
      <c r="N402" s="169" t="s">
        <v>11</v>
      </c>
    </row>
    <row r="403" spans="1:14" x14ac:dyDescent="0.25">
      <c r="A403" s="66" t="s">
        <v>8</v>
      </c>
      <c r="B403" s="69" t="s">
        <v>152</v>
      </c>
      <c r="C403" s="51"/>
      <c r="D403" s="65"/>
      <c r="E403" s="86"/>
      <c r="F403" s="12"/>
      <c r="G403" s="157"/>
      <c r="H403" s="12"/>
      <c r="I403" s="62"/>
      <c r="J403" s="27"/>
      <c r="K403" s="62"/>
      <c r="L403" s="12"/>
      <c r="M403" s="191"/>
      <c r="N403" s="65"/>
    </row>
    <row r="404" spans="1:14" x14ac:dyDescent="0.25">
      <c r="A404" s="63" t="s">
        <v>8</v>
      </c>
      <c r="B404" s="71" t="s">
        <v>2424</v>
      </c>
      <c r="C404" s="2">
        <v>4058075201132</v>
      </c>
      <c r="D404" s="84"/>
      <c r="E404" s="85"/>
      <c r="F404" s="16"/>
      <c r="G404" s="156" t="str">
        <f>HYPERLINK("https://ledvance.com/pt/product-datasheet/8591/136412","Ficha Técnica")</f>
        <v>Ficha Técnica</v>
      </c>
      <c r="H404" s="15">
        <v>3</v>
      </c>
      <c r="I404" s="163">
        <v>3800</v>
      </c>
      <c r="J404" s="15">
        <v>33</v>
      </c>
      <c r="K404" s="163" t="s">
        <v>153</v>
      </c>
      <c r="L404" s="15">
        <v>5</v>
      </c>
      <c r="M404" s="188">
        <v>146.9</v>
      </c>
      <c r="N404" s="169" t="s">
        <v>11</v>
      </c>
    </row>
    <row r="405" spans="1:14" x14ac:dyDescent="0.25">
      <c r="A405" s="63" t="s">
        <v>8</v>
      </c>
      <c r="B405" s="71" t="s">
        <v>2425</v>
      </c>
      <c r="C405" s="2">
        <v>4058075201156</v>
      </c>
      <c r="D405" s="84"/>
      <c r="E405" s="85"/>
      <c r="F405" s="16"/>
      <c r="G405" s="156" t="str">
        <f>HYPERLINK("https://ledvance.com/pt/product-datasheet/8591/136448","Ficha Técnica")</f>
        <v>Ficha Técnica</v>
      </c>
      <c r="H405" s="15">
        <v>3</v>
      </c>
      <c r="I405" s="163">
        <v>4000</v>
      </c>
      <c r="J405" s="15">
        <v>33</v>
      </c>
      <c r="K405" s="163" t="s">
        <v>153</v>
      </c>
      <c r="L405" s="15">
        <v>5</v>
      </c>
      <c r="M405" s="188">
        <v>146.9</v>
      </c>
      <c r="N405" s="169" t="s">
        <v>11</v>
      </c>
    </row>
    <row r="406" spans="1:14" x14ac:dyDescent="0.25">
      <c r="A406" s="63" t="s">
        <v>8</v>
      </c>
      <c r="B406" s="71" t="s">
        <v>2426</v>
      </c>
      <c r="C406" s="2">
        <v>4058075503885</v>
      </c>
      <c r="D406" s="84"/>
      <c r="E406" s="85"/>
      <c r="F406" s="16"/>
      <c r="G406" s="156" t="str">
        <f>HYPERLINK("https://ledvance.com/pt/product-datasheet/141835/126476","Ficha Técnica")</f>
        <v>Ficha Técnica</v>
      </c>
      <c r="H406" s="15">
        <v>3</v>
      </c>
      <c r="I406" s="163">
        <v>3800</v>
      </c>
      <c r="J406" s="15">
        <v>33</v>
      </c>
      <c r="K406" s="163" t="s">
        <v>153</v>
      </c>
      <c r="L406" s="15">
        <v>5</v>
      </c>
      <c r="M406" s="188">
        <v>214.7</v>
      </c>
      <c r="N406" s="169" t="s">
        <v>11</v>
      </c>
    </row>
    <row r="407" spans="1:14" x14ac:dyDescent="0.25">
      <c r="A407" s="63" t="s">
        <v>8</v>
      </c>
      <c r="B407" s="71" t="s">
        <v>2427</v>
      </c>
      <c r="C407" s="2">
        <v>4058075503861</v>
      </c>
      <c r="D407" s="84"/>
      <c r="E407" s="85"/>
      <c r="F407" s="16"/>
      <c r="G407" s="156" t="str">
        <f>HYPERLINK("https://ledvance.com/pt/product-datasheet/141835/131443","Ficha Técnica")</f>
        <v>Ficha Técnica</v>
      </c>
      <c r="H407" s="15">
        <v>3</v>
      </c>
      <c r="I407" s="163">
        <v>4000</v>
      </c>
      <c r="J407" s="15">
        <v>33</v>
      </c>
      <c r="K407" s="163" t="s">
        <v>153</v>
      </c>
      <c r="L407" s="15">
        <v>5</v>
      </c>
      <c r="M407" s="188">
        <v>214.7</v>
      </c>
      <c r="N407" s="169" t="s">
        <v>11</v>
      </c>
    </row>
    <row r="408" spans="1:14" x14ac:dyDescent="0.25">
      <c r="A408" s="63" t="s">
        <v>8</v>
      </c>
      <c r="B408" s="71" t="s">
        <v>154</v>
      </c>
      <c r="C408" s="2">
        <v>4058075521841</v>
      </c>
      <c r="D408" s="84"/>
      <c r="E408" s="85"/>
      <c r="F408" s="17"/>
      <c r="G408" s="156" t="str">
        <f>HYPERLINK("https://ledvance.com/pt/product-datasheet/141836/36172","Ficha Técnica")</f>
        <v>Ficha Técnica</v>
      </c>
      <c r="H408" s="15">
        <v>3</v>
      </c>
      <c r="I408" s="163">
        <v>4000</v>
      </c>
      <c r="J408" s="15">
        <v>33</v>
      </c>
      <c r="K408" s="163" t="s">
        <v>155</v>
      </c>
      <c r="L408" s="15">
        <v>5</v>
      </c>
      <c r="M408" s="188">
        <v>231.6</v>
      </c>
      <c r="N408" s="169" t="s">
        <v>11</v>
      </c>
    </row>
    <row r="409" spans="1:14" x14ac:dyDescent="0.25">
      <c r="A409" s="66" t="s">
        <v>8</v>
      </c>
      <c r="B409" s="69" t="s">
        <v>156</v>
      </c>
      <c r="C409" s="51"/>
      <c r="D409" s="65"/>
      <c r="E409" s="86"/>
      <c r="F409" s="12"/>
      <c r="G409" s="157"/>
      <c r="H409" s="12"/>
      <c r="I409" s="62"/>
      <c r="J409" s="27"/>
      <c r="K409" s="62"/>
      <c r="L409" s="12"/>
      <c r="M409" s="191"/>
      <c r="N409" s="65"/>
    </row>
    <row r="410" spans="1:14" x14ac:dyDescent="0.25">
      <c r="A410" s="63" t="s">
        <v>8</v>
      </c>
      <c r="B410" s="71" t="s">
        <v>2428</v>
      </c>
      <c r="C410" s="2">
        <v>4058075201293</v>
      </c>
      <c r="D410" s="84"/>
      <c r="E410" s="85"/>
      <c r="F410" s="16"/>
      <c r="G410" s="156" t="str">
        <f>HYPERLINK("https://ledvance.com/pt/product-datasheet/9008/136436","Ficha Técnica")</f>
        <v>Ficha Técnica</v>
      </c>
      <c r="H410" s="15">
        <v>4</v>
      </c>
      <c r="I410" s="163">
        <v>3800</v>
      </c>
      <c r="J410" s="15">
        <v>33</v>
      </c>
      <c r="K410" s="163" t="s">
        <v>153</v>
      </c>
      <c r="L410" s="15">
        <v>3</v>
      </c>
      <c r="M410" s="188">
        <v>285.3</v>
      </c>
      <c r="N410" s="169" t="s">
        <v>11</v>
      </c>
    </row>
    <row r="411" spans="1:14" x14ac:dyDescent="0.25">
      <c r="A411" s="63" t="s">
        <v>8</v>
      </c>
      <c r="B411" s="71" t="s">
        <v>2429</v>
      </c>
      <c r="C411" s="2">
        <v>4058075201316</v>
      </c>
      <c r="D411" s="84"/>
      <c r="E411" s="85"/>
      <c r="F411" s="16"/>
      <c r="G411" s="156" t="str">
        <f>HYPERLINK("https://ledvance.com/pt/product-datasheet/8595/136439","Ficha Técnica")</f>
        <v>Ficha Técnica</v>
      </c>
      <c r="H411" s="15">
        <v>4</v>
      </c>
      <c r="I411" s="163">
        <v>4000</v>
      </c>
      <c r="J411" s="15">
        <v>33</v>
      </c>
      <c r="K411" s="163" t="s">
        <v>153</v>
      </c>
      <c r="L411" s="15">
        <v>3</v>
      </c>
      <c r="M411" s="188">
        <v>285.3</v>
      </c>
      <c r="N411" s="169" t="s">
        <v>11</v>
      </c>
    </row>
    <row r="412" spans="1:14" ht="15.75" x14ac:dyDescent="0.25">
      <c r="A412" s="66" t="s">
        <v>8</v>
      </c>
      <c r="B412" s="69" t="s">
        <v>1997</v>
      </c>
      <c r="C412" s="51"/>
      <c r="D412" s="65"/>
      <c r="E412" s="92"/>
      <c r="F412" s="12"/>
      <c r="G412" s="157"/>
      <c r="H412" s="12"/>
      <c r="I412" s="62"/>
      <c r="J412" s="27"/>
      <c r="K412" s="62"/>
      <c r="L412" s="12"/>
      <c r="M412" s="191"/>
      <c r="N412" s="65"/>
    </row>
    <row r="413" spans="1:14" x14ac:dyDescent="0.25">
      <c r="A413" s="63" t="s">
        <v>8</v>
      </c>
      <c r="B413" s="71" t="s">
        <v>2430</v>
      </c>
      <c r="C413" s="59">
        <v>4099854276484</v>
      </c>
      <c r="D413" s="93"/>
      <c r="E413" s="61"/>
      <c r="G413" s="156" t="str">
        <f>HYPERLINK("https://ledvance.com/pt/product-datasheet/304673/296506","Ficha Técnica")</f>
        <v>Ficha Técnica</v>
      </c>
      <c r="H413" s="15">
        <v>4</v>
      </c>
      <c r="I413" s="163" t="s">
        <v>1696</v>
      </c>
      <c r="J413" s="15" t="s">
        <v>1697</v>
      </c>
      <c r="K413" s="163" t="s">
        <v>155</v>
      </c>
      <c r="L413" s="15">
        <v>7</v>
      </c>
      <c r="M413" s="188">
        <v>96.7</v>
      </c>
      <c r="N413" s="169" t="s">
        <v>11</v>
      </c>
    </row>
    <row r="414" spans="1:14" x14ac:dyDescent="0.25">
      <c r="A414" s="63" t="s">
        <v>8</v>
      </c>
      <c r="B414" s="71" t="s">
        <v>2431</v>
      </c>
      <c r="C414" s="59">
        <v>4099854276507</v>
      </c>
      <c r="D414" s="93"/>
      <c r="E414" s="61"/>
      <c r="G414" s="156" t="str">
        <f>HYPERLINK("https://ledvance.com/pt/product-datasheet/304674/296509","Ficha Técnica")</f>
        <v>Ficha Técnica</v>
      </c>
      <c r="H414" s="15">
        <v>4</v>
      </c>
      <c r="I414" s="163" t="s">
        <v>1696</v>
      </c>
      <c r="J414" s="15" t="s">
        <v>1697</v>
      </c>
      <c r="K414" s="163" t="s">
        <v>155</v>
      </c>
      <c r="L414" s="15">
        <v>7</v>
      </c>
      <c r="M414" s="188">
        <v>106</v>
      </c>
      <c r="N414" s="169" t="s">
        <v>11</v>
      </c>
    </row>
    <row r="415" spans="1:14" x14ac:dyDescent="0.25">
      <c r="A415" s="63" t="s">
        <v>8</v>
      </c>
      <c r="B415" s="71" t="s">
        <v>2432</v>
      </c>
      <c r="C415" s="59">
        <v>4099854276521</v>
      </c>
      <c r="D415" s="93"/>
      <c r="E415" s="61"/>
      <c r="G415" s="156" t="str">
        <f>HYPERLINK("https://ledvance.com/pt/product-datasheet/304674/296512","Ficha Técnica")</f>
        <v>Ficha Técnica</v>
      </c>
      <c r="H415" s="15">
        <v>4</v>
      </c>
      <c r="I415" s="163" t="s">
        <v>1698</v>
      </c>
      <c r="J415" s="15" t="s">
        <v>1697</v>
      </c>
      <c r="K415" s="163" t="s">
        <v>155</v>
      </c>
      <c r="L415" s="15">
        <v>7</v>
      </c>
      <c r="M415" s="188">
        <v>106</v>
      </c>
      <c r="N415" s="169" t="s">
        <v>11</v>
      </c>
    </row>
    <row r="416" spans="1:14" x14ac:dyDescent="0.25">
      <c r="A416" s="63" t="s">
        <v>8</v>
      </c>
      <c r="B416" s="71" t="s">
        <v>2433</v>
      </c>
      <c r="C416" s="59">
        <v>4099854276606</v>
      </c>
      <c r="D416" s="93"/>
      <c r="E416" s="61"/>
      <c r="G416" s="156" t="str">
        <f>HYPERLINK("https://ledvance.com/pt/product-datasheet/304675/296524","Ficha Técnica")</f>
        <v>Ficha Técnica</v>
      </c>
      <c r="H416" s="15">
        <v>4</v>
      </c>
      <c r="I416" s="163">
        <v>4860</v>
      </c>
      <c r="J416" s="15">
        <v>30</v>
      </c>
      <c r="K416" s="163" t="s">
        <v>155</v>
      </c>
      <c r="L416" s="15">
        <v>7</v>
      </c>
      <c r="M416" s="188">
        <v>151.1</v>
      </c>
      <c r="N416" s="169" t="s">
        <v>11</v>
      </c>
    </row>
    <row r="417" spans="1:14" x14ac:dyDescent="0.25">
      <c r="A417" s="63" t="s">
        <v>8</v>
      </c>
      <c r="B417" s="71" t="s">
        <v>2434</v>
      </c>
      <c r="C417" s="59">
        <v>4099854276620</v>
      </c>
      <c r="D417" s="93"/>
      <c r="E417" s="61"/>
      <c r="G417" s="156" t="str">
        <f>HYPERLINK("https://ledvance.com/pt/product-datasheet/304676/296528","Ficha Técnica")</f>
        <v>Ficha Técnica</v>
      </c>
      <c r="H417" s="15">
        <v>4</v>
      </c>
      <c r="I417" s="163">
        <v>4860</v>
      </c>
      <c r="J417" s="15">
        <v>30</v>
      </c>
      <c r="K417" s="163" t="s">
        <v>155</v>
      </c>
      <c r="L417" s="15">
        <v>7</v>
      </c>
      <c r="M417" s="188">
        <v>160.5</v>
      </c>
      <c r="N417" s="169" t="s">
        <v>11</v>
      </c>
    </row>
    <row r="418" spans="1:14" x14ac:dyDescent="0.25">
      <c r="A418" s="63" t="s">
        <v>8</v>
      </c>
      <c r="B418" s="71" t="s">
        <v>2435</v>
      </c>
      <c r="C418" s="59">
        <v>4099854276750</v>
      </c>
      <c r="D418" s="93"/>
      <c r="E418" s="61"/>
      <c r="G418" s="156" t="str">
        <f>HYPERLINK("https://ledvance.com/pt/product-datasheet/304676/296532","Ficha Técnica")</f>
        <v>Ficha Técnica</v>
      </c>
      <c r="H418" s="15">
        <v>4</v>
      </c>
      <c r="I418" s="163">
        <v>4800</v>
      </c>
      <c r="J418" s="15">
        <v>30</v>
      </c>
      <c r="K418" s="163" t="s">
        <v>155</v>
      </c>
      <c r="L418" s="15">
        <v>7</v>
      </c>
      <c r="M418" s="188">
        <v>160.5</v>
      </c>
      <c r="N418" s="169" t="s">
        <v>11</v>
      </c>
    </row>
    <row r="419" spans="1:14" ht="15.75" x14ac:dyDescent="0.25">
      <c r="A419" s="66" t="s">
        <v>40</v>
      </c>
      <c r="B419" s="69" t="s">
        <v>1998</v>
      </c>
      <c r="C419" s="51"/>
      <c r="D419" s="65"/>
      <c r="E419" s="92"/>
      <c r="F419" s="12"/>
      <c r="G419" s="157"/>
      <c r="H419" s="12"/>
      <c r="I419" s="62"/>
      <c r="J419" s="27"/>
      <c r="K419" s="62"/>
      <c r="L419" s="12"/>
      <c r="M419" s="191"/>
      <c r="N419" s="65"/>
    </row>
    <row r="420" spans="1:14" x14ac:dyDescent="0.25">
      <c r="A420" s="63" t="s">
        <v>40</v>
      </c>
      <c r="B420" s="74" t="s">
        <v>2018</v>
      </c>
      <c r="C420" s="2">
        <v>4099854423604</v>
      </c>
      <c r="D420" s="93"/>
      <c r="E420" s="61"/>
      <c r="G420" s="158"/>
      <c r="H420" s="58"/>
      <c r="I420" s="164"/>
      <c r="J420" s="206"/>
      <c r="K420" s="164"/>
      <c r="L420" s="58"/>
      <c r="M420" s="188">
        <v>62.8</v>
      </c>
      <c r="N420" s="169" t="s">
        <v>11</v>
      </c>
    </row>
    <row r="421" spans="1:14" x14ac:dyDescent="0.25">
      <c r="A421" s="63" t="s">
        <v>40</v>
      </c>
      <c r="B421" s="74" t="s">
        <v>2017</v>
      </c>
      <c r="C421" s="2">
        <v>4099854423628</v>
      </c>
      <c r="D421" s="93"/>
      <c r="E421" s="87"/>
      <c r="G421" s="158"/>
      <c r="H421" s="14"/>
      <c r="I421" s="158"/>
      <c r="J421" s="46"/>
      <c r="K421" s="158"/>
      <c r="L421" s="14"/>
      <c r="M421" s="188">
        <v>62.8</v>
      </c>
      <c r="N421" s="169" t="s">
        <v>11</v>
      </c>
    </row>
    <row r="422" spans="1:14" x14ac:dyDescent="0.25">
      <c r="A422" s="63" t="s">
        <v>40</v>
      </c>
      <c r="B422" s="74" t="s">
        <v>1187</v>
      </c>
      <c r="C422" s="2">
        <v>4058075843684</v>
      </c>
      <c r="D422" s="93"/>
      <c r="E422" s="61"/>
      <c r="G422" s="156" t="str">
        <f>HYPERLINK("https://ledvance.com/pt/product-datasheet/304687/304506","Ficha Técnica")</f>
        <v>Ficha Técnica</v>
      </c>
      <c r="H422" s="15">
        <v>20</v>
      </c>
      <c r="I422" s="163"/>
      <c r="J422" s="15">
        <v>30</v>
      </c>
      <c r="K422" s="163" t="s">
        <v>46</v>
      </c>
      <c r="L422" s="15">
        <v>7</v>
      </c>
      <c r="M422" s="188">
        <v>23.6</v>
      </c>
      <c r="N422" s="169" t="s">
        <v>11</v>
      </c>
    </row>
    <row r="423" spans="1:14" x14ac:dyDescent="0.25">
      <c r="A423" s="66" t="s">
        <v>8</v>
      </c>
      <c r="B423" s="69" t="s">
        <v>157</v>
      </c>
      <c r="C423" s="51"/>
      <c r="D423" s="65"/>
      <c r="E423" s="86"/>
      <c r="F423" s="12"/>
      <c r="G423" s="157"/>
      <c r="H423" s="12"/>
      <c r="I423" s="62"/>
      <c r="J423" s="27"/>
      <c r="K423" s="62"/>
      <c r="L423" s="12"/>
      <c r="M423" s="191"/>
      <c r="N423" s="65"/>
    </row>
    <row r="424" spans="1:14" x14ac:dyDescent="0.25">
      <c r="A424" s="63" t="s">
        <v>8</v>
      </c>
      <c r="B424" s="71" t="s">
        <v>2436</v>
      </c>
      <c r="C424" s="59">
        <v>4099854082863</v>
      </c>
      <c r="D424" s="93"/>
      <c r="E424" s="61"/>
      <c r="F424" s="16"/>
      <c r="G424" s="156" t="str">
        <f>HYPERLINK("https://ledvance.com/pt/product-datasheet/266444/244026","Ficha Técnica")</f>
        <v>Ficha Técnica</v>
      </c>
      <c r="H424" s="15">
        <v>5</v>
      </c>
      <c r="I424" s="163" t="s">
        <v>1699</v>
      </c>
      <c r="J424" s="15" t="s">
        <v>1700</v>
      </c>
      <c r="K424" s="163" t="s">
        <v>10</v>
      </c>
      <c r="L424" s="15">
        <v>5</v>
      </c>
      <c r="M424" s="188">
        <v>137.19999999999999</v>
      </c>
      <c r="N424" s="169" t="s">
        <v>11</v>
      </c>
    </row>
    <row r="425" spans="1:14" x14ac:dyDescent="0.25">
      <c r="A425" s="63" t="s">
        <v>8</v>
      </c>
      <c r="B425" s="71" t="s">
        <v>2437</v>
      </c>
      <c r="C425" s="59">
        <v>4099854082887</v>
      </c>
      <c r="D425" s="93"/>
      <c r="E425" s="61"/>
      <c r="F425" s="16"/>
      <c r="G425" s="156" t="str">
        <f>HYPERLINK("https://ledvance.com/pt/product-datasheet/266444/244029","Ficha Técnica")</f>
        <v>Ficha Técnica</v>
      </c>
      <c r="H425" s="15">
        <v>5</v>
      </c>
      <c r="I425" s="163" t="s">
        <v>1699</v>
      </c>
      <c r="J425" s="15" t="s">
        <v>1700</v>
      </c>
      <c r="K425" s="163" t="s">
        <v>10</v>
      </c>
      <c r="L425" s="15">
        <v>5</v>
      </c>
      <c r="M425" s="188">
        <v>137.19999999999999</v>
      </c>
      <c r="N425" s="169" t="s">
        <v>11</v>
      </c>
    </row>
    <row r="426" spans="1:14" x14ac:dyDescent="0.25">
      <c r="A426" s="63" t="s">
        <v>8</v>
      </c>
      <c r="B426" s="71" t="s">
        <v>2438</v>
      </c>
      <c r="C426" s="59">
        <v>4099854082900</v>
      </c>
      <c r="D426" s="93"/>
      <c r="E426" s="61"/>
      <c r="F426" s="6"/>
      <c r="G426" s="156" t="str">
        <f>HYPERLINK("https://ledvance.com/pt/product-datasheet/266446/244044","Ficha Técnica")</f>
        <v>Ficha Técnica</v>
      </c>
      <c r="H426" s="15">
        <v>5</v>
      </c>
      <c r="I426" s="163">
        <v>5040</v>
      </c>
      <c r="J426" s="15">
        <v>36</v>
      </c>
      <c r="K426" s="163" t="s">
        <v>10</v>
      </c>
      <c r="L426" s="15">
        <v>5</v>
      </c>
      <c r="M426" s="188">
        <v>202.5</v>
      </c>
      <c r="N426" s="169" t="s">
        <v>11</v>
      </c>
    </row>
    <row r="427" spans="1:14" x14ac:dyDescent="0.25">
      <c r="A427" s="63" t="s">
        <v>8</v>
      </c>
      <c r="B427" s="71" t="s">
        <v>2439</v>
      </c>
      <c r="C427" s="59">
        <v>4099854083105</v>
      </c>
      <c r="D427" s="93"/>
      <c r="E427" s="61"/>
      <c r="F427" s="6"/>
      <c r="G427" s="156" t="str">
        <f>HYPERLINK("https://ledvance.com/pt/product-datasheet/266446/244047","Ficha Técnica")</f>
        <v>Ficha Técnica</v>
      </c>
      <c r="H427" s="15">
        <v>5</v>
      </c>
      <c r="I427" s="163">
        <v>5040</v>
      </c>
      <c r="J427" s="15">
        <v>36</v>
      </c>
      <c r="K427" s="163" t="s">
        <v>10</v>
      </c>
      <c r="L427" s="15">
        <v>5</v>
      </c>
      <c r="M427" s="188">
        <v>202.5</v>
      </c>
      <c r="N427" s="169" t="s">
        <v>11</v>
      </c>
    </row>
    <row r="428" spans="1:14" x14ac:dyDescent="0.25">
      <c r="A428" s="66" t="s">
        <v>8</v>
      </c>
      <c r="B428" s="69" t="s">
        <v>158</v>
      </c>
      <c r="C428" s="51"/>
      <c r="D428" s="65"/>
      <c r="E428" s="86"/>
      <c r="F428" s="12"/>
      <c r="G428" s="157"/>
      <c r="H428" s="12"/>
      <c r="I428" s="62"/>
      <c r="J428" s="27"/>
      <c r="K428" s="62"/>
      <c r="L428" s="12"/>
      <c r="M428" s="191"/>
      <c r="N428" s="65"/>
    </row>
    <row r="429" spans="1:14" x14ac:dyDescent="0.25">
      <c r="A429" s="63" t="s">
        <v>8</v>
      </c>
      <c r="B429" s="71" t="s">
        <v>2440</v>
      </c>
      <c r="C429" s="59">
        <v>4099854083303</v>
      </c>
      <c r="D429" s="90"/>
      <c r="E429" s="91"/>
      <c r="F429" s="6"/>
      <c r="G429" s="156" t="str">
        <f>HYPERLINK("https://ledvance.com/pt/product-datasheet/266445/244032","Ficha Técnica")</f>
        <v>Ficha Técnica</v>
      </c>
      <c r="H429" s="15">
        <v>5</v>
      </c>
      <c r="I429" s="163" t="s">
        <v>1699</v>
      </c>
      <c r="J429" s="15" t="s">
        <v>1700</v>
      </c>
      <c r="K429" s="163" t="s">
        <v>10</v>
      </c>
      <c r="L429" s="15">
        <v>5</v>
      </c>
      <c r="M429" s="188">
        <v>152.69999999999999</v>
      </c>
      <c r="N429" s="169" t="s">
        <v>11</v>
      </c>
    </row>
    <row r="430" spans="1:14" x14ac:dyDescent="0.25">
      <c r="A430" s="63" t="s">
        <v>8</v>
      </c>
      <c r="B430" s="71" t="s">
        <v>2441</v>
      </c>
      <c r="C430" s="59">
        <v>4099854083327</v>
      </c>
      <c r="D430" s="90"/>
      <c r="E430" s="91"/>
      <c r="F430" s="6"/>
      <c r="G430" s="156" t="str">
        <f>HYPERLINK("https://ledvance.com/pt/product-datasheet/266447/244050","Ficha Técnica")</f>
        <v>Ficha Técnica</v>
      </c>
      <c r="H430" s="15">
        <v>5</v>
      </c>
      <c r="I430" s="163">
        <v>5040</v>
      </c>
      <c r="J430" s="15">
        <v>36</v>
      </c>
      <c r="K430" s="163" t="s">
        <v>10</v>
      </c>
      <c r="L430" s="15">
        <v>5</v>
      </c>
      <c r="M430" s="188">
        <v>215</v>
      </c>
      <c r="N430" s="169" t="s">
        <v>11</v>
      </c>
    </row>
    <row r="431" spans="1:14" x14ac:dyDescent="0.25">
      <c r="A431" s="66" t="s">
        <v>8</v>
      </c>
      <c r="B431" s="69" t="s">
        <v>159</v>
      </c>
      <c r="C431" s="51"/>
      <c r="D431" s="65"/>
      <c r="E431" s="86"/>
      <c r="F431" s="12"/>
      <c r="G431" s="157"/>
      <c r="H431" s="12"/>
      <c r="I431" s="62"/>
      <c r="J431" s="27"/>
      <c r="K431" s="62"/>
      <c r="L431" s="12"/>
      <c r="M431" s="191"/>
      <c r="N431" s="65"/>
    </row>
    <row r="432" spans="1:14" x14ac:dyDescent="0.25">
      <c r="A432" s="63" t="s">
        <v>8</v>
      </c>
      <c r="B432" s="71" t="s">
        <v>2442</v>
      </c>
      <c r="C432" s="2">
        <v>4099854014192</v>
      </c>
      <c r="D432" s="84"/>
      <c r="E432" s="85"/>
      <c r="F432" s="16"/>
      <c r="G432" s="156" t="str">
        <f>HYPERLINK("https://ledvance.com/pt/product-datasheet/236110/225899","Ficha Técnica")</f>
        <v>Ficha Técnica</v>
      </c>
      <c r="H432" s="15">
        <v>4</v>
      </c>
      <c r="I432" s="163" t="s">
        <v>1701</v>
      </c>
      <c r="J432" s="15" t="s">
        <v>1702</v>
      </c>
      <c r="K432" s="163" t="s">
        <v>155</v>
      </c>
      <c r="L432" s="15">
        <v>5</v>
      </c>
      <c r="M432" s="188">
        <v>67.8</v>
      </c>
      <c r="N432" s="169" t="s">
        <v>11</v>
      </c>
    </row>
    <row r="433" spans="1:14" x14ac:dyDescent="0.25">
      <c r="A433" s="63" t="s">
        <v>8</v>
      </c>
      <c r="B433" s="71" t="s">
        <v>2443</v>
      </c>
      <c r="C433" s="2">
        <v>4099854014215</v>
      </c>
      <c r="D433" s="84"/>
      <c r="E433" s="85"/>
      <c r="F433" s="16"/>
      <c r="G433" s="156" t="str">
        <f>HYPERLINK("https://ledvance.com/pt/product-datasheet/236110/225902","Ficha Técnica")</f>
        <v>Ficha Técnica</v>
      </c>
      <c r="H433" s="15">
        <v>4</v>
      </c>
      <c r="I433" s="163" t="s">
        <v>1701</v>
      </c>
      <c r="J433" s="15" t="s">
        <v>1702</v>
      </c>
      <c r="K433" s="163" t="s">
        <v>155</v>
      </c>
      <c r="L433" s="15">
        <v>5</v>
      </c>
      <c r="M433" s="188">
        <v>67.8</v>
      </c>
      <c r="N433" s="169" t="s">
        <v>11</v>
      </c>
    </row>
    <row r="434" spans="1:14" x14ac:dyDescent="0.25">
      <c r="A434" s="63" t="s">
        <v>8</v>
      </c>
      <c r="B434" s="71" t="s">
        <v>2444</v>
      </c>
      <c r="C434" s="2">
        <v>4099854014864</v>
      </c>
      <c r="D434" s="84"/>
      <c r="E434" s="85"/>
      <c r="F434" s="16"/>
      <c r="G434" s="156" t="str">
        <f>HYPERLINK("https://ledvance.com/pt/product-datasheet/236110/225927","Ficha Técnica")</f>
        <v>Ficha Técnica</v>
      </c>
      <c r="H434" s="15">
        <v>4</v>
      </c>
      <c r="I434" s="163" t="s">
        <v>1703</v>
      </c>
      <c r="J434" s="15" t="s">
        <v>1704</v>
      </c>
      <c r="K434" s="163" t="s">
        <v>155</v>
      </c>
      <c r="L434" s="15">
        <v>5</v>
      </c>
      <c r="M434" s="188">
        <v>79.5</v>
      </c>
      <c r="N434" s="169" t="s">
        <v>11</v>
      </c>
    </row>
    <row r="435" spans="1:14" x14ac:dyDescent="0.25">
      <c r="A435" s="63" t="s">
        <v>8</v>
      </c>
      <c r="B435" s="71" t="s">
        <v>2445</v>
      </c>
      <c r="C435" s="2">
        <v>4099854014888</v>
      </c>
      <c r="D435" s="84"/>
      <c r="E435" s="85"/>
      <c r="F435" s="16"/>
      <c r="G435" s="156" t="str">
        <f>HYPERLINK("https://ledvance.com/pt/product-datasheet/236110/225930","Ficha Técnica")</f>
        <v>Ficha Técnica</v>
      </c>
      <c r="H435" s="15">
        <v>4</v>
      </c>
      <c r="I435" s="163" t="s">
        <v>1703</v>
      </c>
      <c r="J435" s="15" t="s">
        <v>1704</v>
      </c>
      <c r="K435" s="163" t="s">
        <v>155</v>
      </c>
      <c r="L435" s="15">
        <v>5</v>
      </c>
      <c r="M435" s="188">
        <v>79.5</v>
      </c>
      <c r="N435" s="169" t="s">
        <v>11</v>
      </c>
    </row>
    <row r="436" spans="1:14" x14ac:dyDescent="0.25">
      <c r="A436" s="63" t="s">
        <v>8</v>
      </c>
      <c r="B436" s="71" t="s">
        <v>2446</v>
      </c>
      <c r="C436" s="2">
        <v>4099854014901</v>
      </c>
      <c r="D436" s="84"/>
      <c r="E436" s="85"/>
      <c r="F436" s="16"/>
      <c r="G436" s="156" t="str">
        <f>HYPERLINK("https://ledvance.com/pt/product-datasheet/236110/225933","Ficha Técnica")</f>
        <v>Ficha Técnica</v>
      </c>
      <c r="H436" s="15">
        <v>4</v>
      </c>
      <c r="I436" s="163" t="s">
        <v>1703</v>
      </c>
      <c r="J436" s="15" t="s">
        <v>1704</v>
      </c>
      <c r="K436" s="163" t="s">
        <v>155</v>
      </c>
      <c r="L436" s="15">
        <v>5</v>
      </c>
      <c r="M436" s="188">
        <v>79.5</v>
      </c>
      <c r="N436" s="169" t="s">
        <v>11</v>
      </c>
    </row>
    <row r="437" spans="1:14" x14ac:dyDescent="0.25">
      <c r="A437" s="66" t="s">
        <v>8</v>
      </c>
      <c r="B437" s="69" t="s">
        <v>160</v>
      </c>
      <c r="C437" s="51"/>
      <c r="D437" s="65"/>
      <c r="E437" s="86"/>
      <c r="F437" s="12"/>
      <c r="G437" s="157"/>
      <c r="H437" s="12"/>
      <c r="I437" s="62"/>
      <c r="J437" s="27"/>
      <c r="K437" s="62"/>
      <c r="L437" s="12"/>
      <c r="M437" s="191"/>
      <c r="N437" s="65"/>
    </row>
    <row r="438" spans="1:14" x14ac:dyDescent="0.25">
      <c r="A438" s="63" t="s">
        <v>8</v>
      </c>
      <c r="B438" s="71" t="s">
        <v>2447</v>
      </c>
      <c r="C438" s="2">
        <v>4099854014604</v>
      </c>
      <c r="D438" s="84"/>
      <c r="E438" s="85"/>
      <c r="F438" s="16"/>
      <c r="G438" s="156" t="str">
        <f>HYPERLINK("https://ledvance.com/pt/product-datasheet/236111/225913","Ficha Técnica")</f>
        <v>Ficha Técnica</v>
      </c>
      <c r="H438" s="15">
        <v>4</v>
      </c>
      <c r="I438" s="163" t="s">
        <v>1701</v>
      </c>
      <c r="J438" s="15" t="s">
        <v>1702</v>
      </c>
      <c r="K438" s="163" t="s">
        <v>155</v>
      </c>
      <c r="L438" s="15">
        <v>5</v>
      </c>
      <c r="M438" s="188">
        <v>70.7</v>
      </c>
      <c r="N438" s="169" t="s">
        <v>11</v>
      </c>
    </row>
    <row r="439" spans="1:14" x14ac:dyDescent="0.25">
      <c r="A439" s="63" t="s">
        <v>8</v>
      </c>
      <c r="B439" s="71" t="s">
        <v>2448</v>
      </c>
      <c r="C439" s="2">
        <v>4099854014628</v>
      </c>
      <c r="D439" s="84"/>
      <c r="E439" s="85"/>
      <c r="F439" s="16"/>
      <c r="G439" s="156" t="str">
        <f>HYPERLINK("https://ledvance.com/pt/product-datasheet/236111/225916","Ficha Técnica")</f>
        <v>Ficha Técnica</v>
      </c>
      <c r="H439" s="15">
        <v>4</v>
      </c>
      <c r="I439" s="163" t="s">
        <v>1701</v>
      </c>
      <c r="J439" s="15" t="s">
        <v>1702</v>
      </c>
      <c r="K439" s="163" t="s">
        <v>155</v>
      </c>
      <c r="L439" s="15">
        <v>5</v>
      </c>
      <c r="M439" s="188">
        <v>70.7</v>
      </c>
      <c r="N439" s="169" t="s">
        <v>11</v>
      </c>
    </row>
    <row r="440" spans="1:14" x14ac:dyDescent="0.25">
      <c r="A440" s="63" t="s">
        <v>8</v>
      </c>
      <c r="B440" s="71" t="s">
        <v>2449</v>
      </c>
      <c r="C440" s="2">
        <v>4099854015090</v>
      </c>
      <c r="D440" s="84"/>
      <c r="E440" s="85"/>
      <c r="F440" s="16"/>
      <c r="G440" s="156" t="str">
        <f>HYPERLINK("https://ledvance.com/pt/product-datasheet/236111/225951","Ficha Técnica")</f>
        <v>Ficha Técnica</v>
      </c>
      <c r="H440" s="15">
        <v>4</v>
      </c>
      <c r="I440" s="163" t="s">
        <v>1703</v>
      </c>
      <c r="J440" s="15" t="s">
        <v>1704</v>
      </c>
      <c r="K440" s="163" t="s">
        <v>155</v>
      </c>
      <c r="L440" s="15">
        <v>5</v>
      </c>
      <c r="M440" s="188">
        <v>91.3</v>
      </c>
      <c r="N440" s="169" t="s">
        <v>11</v>
      </c>
    </row>
    <row r="441" spans="1:14" x14ac:dyDescent="0.25">
      <c r="A441" s="63" t="s">
        <v>8</v>
      </c>
      <c r="B441" s="71" t="s">
        <v>2450</v>
      </c>
      <c r="C441" s="2">
        <v>4099854015113</v>
      </c>
      <c r="D441" s="84"/>
      <c r="E441" s="85"/>
      <c r="F441" s="16"/>
      <c r="G441" s="156" t="str">
        <f>HYPERLINK("https://ledvance.com/pt/product-datasheet/236111/225954","Ficha Técnica")</f>
        <v>Ficha Técnica</v>
      </c>
      <c r="H441" s="15">
        <v>4</v>
      </c>
      <c r="I441" s="163" t="s">
        <v>1703</v>
      </c>
      <c r="J441" s="15" t="s">
        <v>1704</v>
      </c>
      <c r="K441" s="163" t="s">
        <v>155</v>
      </c>
      <c r="L441" s="15">
        <v>5</v>
      </c>
      <c r="M441" s="188">
        <v>91.3</v>
      </c>
      <c r="N441" s="169" t="s">
        <v>11</v>
      </c>
    </row>
    <row r="442" spans="1:14" x14ac:dyDescent="0.25">
      <c r="A442" s="63" t="s">
        <v>8</v>
      </c>
      <c r="B442" s="71" t="s">
        <v>2451</v>
      </c>
      <c r="C442" s="2">
        <v>4099854015137</v>
      </c>
      <c r="D442" s="84"/>
      <c r="E442" s="85"/>
      <c r="F442" s="16"/>
      <c r="G442" s="156" t="str">
        <f>HYPERLINK("https://ledvance.com/pt/product-datasheet/236111/225957","Ficha Técnica")</f>
        <v>Ficha Técnica</v>
      </c>
      <c r="H442" s="15">
        <v>4</v>
      </c>
      <c r="I442" s="163" t="s">
        <v>1703</v>
      </c>
      <c r="J442" s="15" t="s">
        <v>1704</v>
      </c>
      <c r="K442" s="163" t="s">
        <v>155</v>
      </c>
      <c r="L442" s="15">
        <v>5</v>
      </c>
      <c r="M442" s="188">
        <v>91.3</v>
      </c>
      <c r="N442" s="169" t="s">
        <v>11</v>
      </c>
    </row>
    <row r="443" spans="1:14" x14ac:dyDescent="0.25">
      <c r="A443" s="66" t="s">
        <v>8</v>
      </c>
      <c r="B443" s="69" t="s">
        <v>161</v>
      </c>
      <c r="C443" s="51"/>
      <c r="D443" s="65"/>
      <c r="E443" s="86"/>
      <c r="F443" s="12"/>
      <c r="G443" s="157"/>
      <c r="H443" s="12"/>
      <c r="I443" s="62"/>
      <c r="J443" s="27"/>
      <c r="K443" s="62"/>
      <c r="L443" s="12"/>
      <c r="M443" s="191"/>
      <c r="N443" s="65"/>
    </row>
    <row r="444" spans="1:14" x14ac:dyDescent="0.25">
      <c r="A444" s="63" t="s">
        <v>8</v>
      </c>
      <c r="B444" s="71" t="s">
        <v>2452</v>
      </c>
      <c r="C444" s="2">
        <v>4099854014352</v>
      </c>
      <c r="D444" s="84"/>
      <c r="E444" s="85"/>
      <c r="F444" s="16"/>
      <c r="G444" s="156" t="str">
        <f>HYPERLINK("https://ledvance.com/pt/product-datasheet/236112/225905","Ficha Técnica")</f>
        <v>Ficha Técnica</v>
      </c>
      <c r="H444" s="15">
        <v>4</v>
      </c>
      <c r="I444" s="163">
        <v>3640</v>
      </c>
      <c r="J444" s="15">
        <v>28</v>
      </c>
      <c r="K444" s="163" t="s">
        <v>155</v>
      </c>
      <c r="L444" s="15">
        <v>5</v>
      </c>
      <c r="M444" s="188">
        <v>125.2</v>
      </c>
      <c r="N444" s="169" t="s">
        <v>11</v>
      </c>
    </row>
    <row r="445" spans="1:14" x14ac:dyDescent="0.25">
      <c r="A445" s="63" t="s">
        <v>8</v>
      </c>
      <c r="B445" s="71" t="s">
        <v>2453</v>
      </c>
      <c r="C445" s="2">
        <v>4099854014505</v>
      </c>
      <c r="D445" s="84"/>
      <c r="E445" s="85"/>
      <c r="F445" s="16"/>
      <c r="G445" s="156" t="str">
        <f>HYPERLINK("https://ledvance.com/pt/product-datasheet/236112/225909","Ficha Técnica")</f>
        <v>Ficha Técnica</v>
      </c>
      <c r="H445" s="15">
        <v>4</v>
      </c>
      <c r="I445" s="163">
        <v>3640</v>
      </c>
      <c r="J445" s="15">
        <v>28</v>
      </c>
      <c r="K445" s="163" t="s">
        <v>155</v>
      </c>
      <c r="L445" s="15">
        <v>5</v>
      </c>
      <c r="M445" s="188">
        <v>125.1</v>
      </c>
      <c r="N445" s="169" t="s">
        <v>11</v>
      </c>
    </row>
    <row r="446" spans="1:14" x14ac:dyDescent="0.25">
      <c r="A446" s="63" t="s">
        <v>8</v>
      </c>
      <c r="B446" s="71" t="s">
        <v>2454</v>
      </c>
      <c r="C446" s="2">
        <v>4099854014925</v>
      </c>
      <c r="D446" s="84"/>
      <c r="E446" s="85"/>
      <c r="F446" s="16"/>
      <c r="G446" s="156" t="str">
        <f>HYPERLINK("https://ledvance.com/pt/product-datasheet/236112/225936","Ficha Técnica")</f>
        <v>Ficha Técnica</v>
      </c>
      <c r="H446" s="15">
        <v>4</v>
      </c>
      <c r="I446" s="163">
        <v>4320</v>
      </c>
      <c r="J446" s="15">
        <v>33</v>
      </c>
      <c r="K446" s="163" t="s">
        <v>155</v>
      </c>
      <c r="L446" s="15">
        <v>5</v>
      </c>
      <c r="M446" s="188">
        <v>136.9</v>
      </c>
      <c r="N446" s="169" t="s">
        <v>11</v>
      </c>
    </row>
    <row r="447" spans="1:14" x14ac:dyDescent="0.25">
      <c r="A447" s="63" t="s">
        <v>8</v>
      </c>
      <c r="B447" s="71" t="s">
        <v>2455</v>
      </c>
      <c r="C447" s="2">
        <v>4099854015342</v>
      </c>
      <c r="D447" s="84"/>
      <c r="E447" s="85"/>
      <c r="F447" s="16"/>
      <c r="G447" s="156" t="str">
        <f>HYPERLINK("https://ledvance.com/pt/product-datasheet/236112/225940","Ficha Técnica")</f>
        <v>Ficha Técnica</v>
      </c>
      <c r="H447" s="15">
        <v>4</v>
      </c>
      <c r="I447" s="163">
        <v>4320</v>
      </c>
      <c r="J447" s="15">
        <v>33</v>
      </c>
      <c r="K447" s="163" t="s">
        <v>155</v>
      </c>
      <c r="L447" s="15">
        <v>5</v>
      </c>
      <c r="M447" s="188">
        <v>136.9</v>
      </c>
      <c r="N447" s="169" t="s">
        <v>11</v>
      </c>
    </row>
    <row r="448" spans="1:14" x14ac:dyDescent="0.25">
      <c r="A448" s="63" t="s">
        <v>8</v>
      </c>
      <c r="B448" s="71" t="s">
        <v>2456</v>
      </c>
      <c r="C448" s="2">
        <v>4099854015410</v>
      </c>
      <c r="D448" s="84"/>
      <c r="E448" s="85"/>
      <c r="F448" s="16"/>
      <c r="G448" s="156" t="str">
        <f>HYPERLINK("https://ledvance.com/pt/product-datasheet/236112/225944","Ficha Técnica")</f>
        <v>Ficha Técnica</v>
      </c>
      <c r="H448" s="15">
        <v>4</v>
      </c>
      <c r="I448" s="163">
        <v>4320</v>
      </c>
      <c r="J448" s="15">
        <v>33</v>
      </c>
      <c r="K448" s="163" t="s">
        <v>155</v>
      </c>
      <c r="L448" s="15">
        <v>5</v>
      </c>
      <c r="M448" s="188">
        <v>136.9</v>
      </c>
      <c r="N448" s="169" t="s">
        <v>11</v>
      </c>
    </row>
    <row r="449" spans="1:14" x14ac:dyDescent="0.25">
      <c r="A449" s="63" t="s">
        <v>8</v>
      </c>
      <c r="B449" s="71" t="s">
        <v>2457</v>
      </c>
      <c r="C449" s="2">
        <v>4099854015076</v>
      </c>
      <c r="D449" s="84"/>
      <c r="E449" s="85"/>
      <c r="F449" s="16"/>
      <c r="G449" s="156" t="str">
        <f>HYPERLINK("https://ledvance.com/pt/product-datasheet/236114/225948","Ficha Técnica")</f>
        <v>Ficha Técnica</v>
      </c>
      <c r="H449" s="15">
        <v>4</v>
      </c>
      <c r="I449" s="163">
        <v>4320</v>
      </c>
      <c r="J449" s="15">
        <v>33</v>
      </c>
      <c r="K449" s="163" t="s">
        <v>155</v>
      </c>
      <c r="L449" s="15">
        <v>5</v>
      </c>
      <c r="M449" s="188">
        <v>141.69999999999999</v>
      </c>
      <c r="N449" s="169" t="s">
        <v>11</v>
      </c>
    </row>
    <row r="450" spans="1:14" x14ac:dyDescent="0.25">
      <c r="A450" s="66" t="s">
        <v>8</v>
      </c>
      <c r="B450" s="69" t="s">
        <v>162</v>
      </c>
      <c r="C450" s="51"/>
      <c r="D450" s="65"/>
      <c r="E450" s="86"/>
      <c r="F450" s="12"/>
      <c r="G450" s="157"/>
      <c r="H450" s="12"/>
      <c r="I450" s="62"/>
      <c r="J450" s="27"/>
      <c r="K450" s="62"/>
      <c r="L450" s="12"/>
      <c r="M450" s="191"/>
      <c r="N450" s="65"/>
    </row>
    <row r="451" spans="1:14" x14ac:dyDescent="0.25">
      <c r="A451" s="63" t="s">
        <v>8</v>
      </c>
      <c r="B451" s="71" t="s">
        <v>2458</v>
      </c>
      <c r="C451" s="2">
        <v>4099854014703</v>
      </c>
      <c r="D451" s="84"/>
      <c r="E451" s="85"/>
      <c r="F451" s="16"/>
      <c r="G451" s="156" t="str">
        <f>HYPERLINK("https://ledvance.com/pt/product-datasheet/236113/225919","Ficha Técnica")</f>
        <v>Ficha Técnica</v>
      </c>
      <c r="H451" s="15">
        <v>4</v>
      </c>
      <c r="I451" s="163">
        <v>3640</v>
      </c>
      <c r="J451" s="15">
        <v>28</v>
      </c>
      <c r="K451" s="163" t="s">
        <v>155</v>
      </c>
      <c r="L451" s="15">
        <v>5</v>
      </c>
      <c r="M451" s="188">
        <v>128.1</v>
      </c>
      <c r="N451" s="169" t="s">
        <v>11</v>
      </c>
    </row>
    <row r="452" spans="1:14" x14ac:dyDescent="0.25">
      <c r="A452" s="63" t="s">
        <v>8</v>
      </c>
      <c r="B452" s="71" t="s">
        <v>2459</v>
      </c>
      <c r="C452" s="2">
        <v>4099854014789</v>
      </c>
      <c r="D452" s="84"/>
      <c r="E452" s="85"/>
      <c r="F452" s="16"/>
      <c r="G452" s="156" t="str">
        <f>HYPERLINK("https://ledvance.com/pt/product-datasheet/236113/225923","Ficha Técnica")</f>
        <v>Ficha Técnica</v>
      </c>
      <c r="H452" s="15">
        <v>4</v>
      </c>
      <c r="I452" s="163">
        <v>3640</v>
      </c>
      <c r="J452" s="15">
        <v>28</v>
      </c>
      <c r="K452" s="163" t="s">
        <v>155</v>
      </c>
      <c r="L452" s="15">
        <v>5</v>
      </c>
      <c r="M452" s="188">
        <v>128.1</v>
      </c>
      <c r="N452" s="169" t="s">
        <v>11</v>
      </c>
    </row>
    <row r="453" spans="1:14" x14ac:dyDescent="0.25">
      <c r="A453" s="63" t="s">
        <v>8</v>
      </c>
      <c r="B453" s="71" t="s">
        <v>2460</v>
      </c>
      <c r="C453" s="2">
        <v>4099854015304</v>
      </c>
      <c r="D453" s="84"/>
      <c r="E453" s="85"/>
      <c r="F453" s="16"/>
      <c r="G453" s="156" t="str">
        <f>HYPERLINK("https://ledvance.com/pt/product-datasheet/236113/225960","Ficha Técnica")</f>
        <v>Ficha Técnica</v>
      </c>
      <c r="H453" s="15">
        <v>4</v>
      </c>
      <c r="I453" s="163">
        <v>4320</v>
      </c>
      <c r="J453" s="15">
        <v>33</v>
      </c>
      <c r="K453" s="163" t="s">
        <v>155</v>
      </c>
      <c r="L453" s="15">
        <v>5</v>
      </c>
      <c r="M453" s="188">
        <v>148.6</v>
      </c>
      <c r="N453" s="169" t="s">
        <v>11</v>
      </c>
    </row>
    <row r="454" spans="1:14" x14ac:dyDescent="0.25">
      <c r="A454" s="63" t="s">
        <v>8</v>
      </c>
      <c r="B454" s="71" t="s">
        <v>2461</v>
      </c>
      <c r="C454" s="2">
        <v>4099854015229</v>
      </c>
      <c r="D454" s="84"/>
      <c r="E454" s="85"/>
      <c r="F454" s="16"/>
      <c r="G454" s="156" t="str">
        <f>HYPERLINK("https://ledvance.com/pt/product-datasheet/236113/225964","Ficha Técnica")</f>
        <v>Ficha Técnica</v>
      </c>
      <c r="H454" s="15">
        <v>4</v>
      </c>
      <c r="I454" s="163">
        <v>4320</v>
      </c>
      <c r="J454" s="15">
        <v>33</v>
      </c>
      <c r="K454" s="163" t="s">
        <v>155</v>
      </c>
      <c r="L454" s="15">
        <v>5</v>
      </c>
      <c r="M454" s="188">
        <v>148.6</v>
      </c>
      <c r="N454" s="169" t="s">
        <v>11</v>
      </c>
    </row>
    <row r="455" spans="1:14" x14ac:dyDescent="0.25">
      <c r="A455" s="63" t="s">
        <v>8</v>
      </c>
      <c r="B455" s="71" t="s">
        <v>2462</v>
      </c>
      <c r="C455" s="2">
        <v>4099854015243</v>
      </c>
      <c r="D455" s="84"/>
      <c r="E455" s="85"/>
      <c r="F455" s="16"/>
      <c r="G455" s="156" t="str">
        <f>HYPERLINK("https://ledvance.com/pt/product-datasheet/236113/225968","Ficha Técnica")</f>
        <v>Ficha Técnica</v>
      </c>
      <c r="H455" s="15">
        <v>4</v>
      </c>
      <c r="I455" s="163">
        <v>4320</v>
      </c>
      <c r="J455" s="15">
        <v>33</v>
      </c>
      <c r="K455" s="163" t="s">
        <v>155</v>
      </c>
      <c r="L455" s="15">
        <v>5</v>
      </c>
      <c r="M455" s="188">
        <v>148.6</v>
      </c>
      <c r="N455" s="169" t="s">
        <v>11</v>
      </c>
    </row>
    <row r="456" spans="1:14" x14ac:dyDescent="0.25">
      <c r="A456" s="63" t="s">
        <v>8</v>
      </c>
      <c r="B456" s="71" t="s">
        <v>2463</v>
      </c>
      <c r="C456" s="2">
        <v>4099854014239</v>
      </c>
      <c r="D456" s="84"/>
      <c r="E456" s="85"/>
      <c r="F456" s="16"/>
      <c r="G456" s="156" t="str">
        <f>HYPERLINK("https://ledvance.com/pt/product-datasheet/236115/225972","Ficha Técnica")</f>
        <v>Ficha Técnica</v>
      </c>
      <c r="H456" s="15">
        <v>4</v>
      </c>
      <c r="I456" s="163">
        <v>4320</v>
      </c>
      <c r="J456" s="15">
        <v>33</v>
      </c>
      <c r="K456" s="163" t="s">
        <v>155</v>
      </c>
      <c r="L456" s="15">
        <v>5</v>
      </c>
      <c r="M456" s="188">
        <v>153.5</v>
      </c>
      <c r="N456" s="169" t="s">
        <v>11</v>
      </c>
    </row>
    <row r="457" spans="1:14" x14ac:dyDescent="0.25">
      <c r="A457" s="66" t="s">
        <v>8</v>
      </c>
      <c r="B457" s="69" t="s">
        <v>163</v>
      </c>
      <c r="C457" s="51"/>
      <c r="D457" s="65"/>
      <c r="E457" s="86"/>
      <c r="F457" s="12"/>
      <c r="G457" s="157"/>
      <c r="H457" s="12"/>
      <c r="I457" s="62"/>
      <c r="J457" s="27"/>
      <c r="K457" s="62"/>
      <c r="L457" s="12"/>
      <c r="M457" s="191"/>
      <c r="N457" s="65"/>
    </row>
    <row r="458" spans="1:14" x14ac:dyDescent="0.25">
      <c r="A458" s="63" t="s">
        <v>8</v>
      </c>
      <c r="B458" s="71" t="s">
        <v>2464</v>
      </c>
      <c r="C458" s="2">
        <v>4058075694460</v>
      </c>
      <c r="D458" s="84"/>
      <c r="E458" s="85"/>
      <c r="F458" s="16"/>
      <c r="G458" s="156" t="str">
        <f>HYPERLINK("https://ledvance.com/pt/product-datasheet/195832/179922","Ficha Técnica")</f>
        <v>Ficha Técnica</v>
      </c>
      <c r="H458" s="15">
        <v>4</v>
      </c>
      <c r="I458" s="163" t="s">
        <v>1705</v>
      </c>
      <c r="J458" s="15" t="s">
        <v>1706</v>
      </c>
      <c r="K458" s="163" t="s">
        <v>155</v>
      </c>
      <c r="L458" s="15">
        <v>5</v>
      </c>
      <c r="M458" s="188">
        <v>124.3</v>
      </c>
      <c r="N458" s="169" t="s">
        <v>11</v>
      </c>
    </row>
    <row r="459" spans="1:14" x14ac:dyDescent="0.25">
      <c r="A459" s="63" t="s">
        <v>8</v>
      </c>
      <c r="B459" s="71" t="s">
        <v>2465</v>
      </c>
      <c r="C459" s="2">
        <v>4058075694507</v>
      </c>
      <c r="D459" s="84"/>
      <c r="E459" s="85"/>
      <c r="F459" s="16"/>
      <c r="G459" s="156" t="str">
        <f>HYPERLINK("https://ledvance.com/pt/product-datasheet/195833/179928","Ficha Técnica")</f>
        <v>Ficha Técnica</v>
      </c>
      <c r="H459" s="15">
        <v>4</v>
      </c>
      <c r="I459" s="163">
        <v>4200</v>
      </c>
      <c r="J459" s="15">
        <v>36</v>
      </c>
      <c r="K459" s="163" t="s">
        <v>155</v>
      </c>
      <c r="L459" s="15">
        <v>5</v>
      </c>
      <c r="M459" s="188">
        <v>176</v>
      </c>
      <c r="N459" s="169" t="s">
        <v>11</v>
      </c>
    </row>
    <row r="460" spans="1:14" x14ac:dyDescent="0.25">
      <c r="A460" s="66" t="s">
        <v>8</v>
      </c>
      <c r="B460" s="69" t="s">
        <v>164</v>
      </c>
      <c r="C460" s="51"/>
      <c r="D460" s="65"/>
      <c r="E460" s="86"/>
      <c r="F460" s="12"/>
      <c r="G460" s="157"/>
      <c r="H460" s="12"/>
      <c r="I460" s="62"/>
      <c r="J460" s="27"/>
      <c r="K460" s="62"/>
      <c r="L460" s="12"/>
      <c r="M460" s="191"/>
      <c r="N460" s="65"/>
    </row>
    <row r="461" spans="1:14" x14ac:dyDescent="0.25">
      <c r="A461" s="63" t="s">
        <v>8</v>
      </c>
      <c r="B461" s="71" t="s">
        <v>2466</v>
      </c>
      <c r="C461" s="2">
        <v>4099854002731</v>
      </c>
      <c r="D461" s="84"/>
      <c r="E461" s="85"/>
      <c r="F461" s="16"/>
      <c r="G461" s="156" t="str">
        <f>HYPERLINK("https://ledvance.com/pt/product-datasheet/236122/218907","Ficha Técnica")</f>
        <v>Ficha Técnica</v>
      </c>
      <c r="H461" s="15">
        <v>4</v>
      </c>
      <c r="I461" s="163" t="s">
        <v>1707</v>
      </c>
      <c r="J461" s="15" t="s">
        <v>1708</v>
      </c>
      <c r="K461" s="163" t="s">
        <v>155</v>
      </c>
      <c r="L461" s="15">
        <v>5</v>
      </c>
      <c r="M461" s="188">
        <v>103</v>
      </c>
      <c r="N461" s="169" t="s">
        <v>11</v>
      </c>
    </row>
    <row r="462" spans="1:14" x14ac:dyDescent="0.25">
      <c r="A462" s="63" t="s">
        <v>8</v>
      </c>
      <c r="B462" s="71" t="s">
        <v>2467</v>
      </c>
      <c r="C462" s="2">
        <v>4099854003981</v>
      </c>
      <c r="D462" s="84"/>
      <c r="E462" s="85"/>
      <c r="F462" s="16"/>
      <c r="G462" s="156" t="str">
        <f>HYPERLINK("https://ledvance.com/pt/product-datasheet/236122/218910","Ficha Técnica")</f>
        <v>Ficha Técnica</v>
      </c>
      <c r="H462" s="15">
        <v>4</v>
      </c>
      <c r="I462" s="163" t="s">
        <v>1707</v>
      </c>
      <c r="J462" s="15" t="s">
        <v>1708</v>
      </c>
      <c r="K462" s="163" t="s">
        <v>155</v>
      </c>
      <c r="L462" s="15">
        <v>5</v>
      </c>
      <c r="M462" s="188">
        <v>103</v>
      </c>
      <c r="N462" s="169" t="s">
        <v>11</v>
      </c>
    </row>
    <row r="463" spans="1:14" x14ac:dyDescent="0.25">
      <c r="A463" s="63" t="s">
        <v>8</v>
      </c>
      <c r="B463" s="71" t="s">
        <v>2468</v>
      </c>
      <c r="C463" s="2">
        <v>4099854004087</v>
      </c>
      <c r="D463" s="84"/>
      <c r="E463" s="85"/>
      <c r="F463" s="16"/>
      <c r="G463" s="156" t="str">
        <f>HYPERLINK("https://ledvance.com/pt/product-datasheet/236123/218919","Ficha Técnica")</f>
        <v>Ficha Técnica</v>
      </c>
      <c r="H463" s="15">
        <v>4</v>
      </c>
      <c r="I463" s="163" t="s">
        <v>1707</v>
      </c>
      <c r="J463" s="15" t="s">
        <v>1708</v>
      </c>
      <c r="K463" s="163" t="s">
        <v>155</v>
      </c>
      <c r="L463" s="15">
        <v>5</v>
      </c>
      <c r="M463" s="188">
        <v>112.4</v>
      </c>
      <c r="N463" s="169" t="s">
        <v>11</v>
      </c>
    </row>
    <row r="464" spans="1:14" x14ac:dyDescent="0.25">
      <c r="A464" s="63" t="s">
        <v>8</v>
      </c>
      <c r="B464" s="71" t="s">
        <v>2469</v>
      </c>
      <c r="C464" s="2">
        <v>4099854004100</v>
      </c>
      <c r="D464" s="84"/>
      <c r="E464" s="85"/>
      <c r="F464" s="16"/>
      <c r="G464" s="156" t="str">
        <f>HYPERLINK("https://ledvance.com/pt/product-datasheet/236123/218922","Ficha Técnica")</f>
        <v>Ficha Técnica</v>
      </c>
      <c r="H464" s="15">
        <v>4</v>
      </c>
      <c r="I464" s="163" t="s">
        <v>1707</v>
      </c>
      <c r="J464" s="15" t="s">
        <v>1708</v>
      </c>
      <c r="K464" s="163" t="s">
        <v>155</v>
      </c>
      <c r="L464" s="15">
        <v>5</v>
      </c>
      <c r="M464" s="188">
        <v>112.4</v>
      </c>
      <c r="N464" s="169" t="s">
        <v>11</v>
      </c>
    </row>
    <row r="465" spans="1:14" x14ac:dyDescent="0.25">
      <c r="A465" s="63" t="s">
        <v>8</v>
      </c>
      <c r="B465" s="71" t="s">
        <v>2470</v>
      </c>
      <c r="C465" s="2">
        <v>4099854004001</v>
      </c>
      <c r="D465" s="84"/>
      <c r="E465" s="85"/>
      <c r="F465" s="16"/>
      <c r="G465" s="156" t="str">
        <f>HYPERLINK("https://ledvance.com/pt/product-datasheet/236124/218913","Ficha Técnica")</f>
        <v>Ficha Técnica</v>
      </c>
      <c r="H465" s="15">
        <v>4</v>
      </c>
      <c r="I465" s="163">
        <v>4320</v>
      </c>
      <c r="J465" s="15">
        <v>33</v>
      </c>
      <c r="K465" s="163" t="s">
        <v>155</v>
      </c>
      <c r="L465" s="15">
        <v>5</v>
      </c>
      <c r="M465" s="188">
        <v>157.5</v>
      </c>
      <c r="N465" s="169" t="s">
        <v>11</v>
      </c>
    </row>
    <row r="466" spans="1:14" x14ac:dyDescent="0.25">
      <c r="A466" s="63" t="s">
        <v>8</v>
      </c>
      <c r="B466" s="71" t="s">
        <v>2471</v>
      </c>
      <c r="C466" s="2">
        <v>4099854004049</v>
      </c>
      <c r="D466" s="84"/>
      <c r="E466" s="85"/>
      <c r="F466" s="16"/>
      <c r="G466" s="156" t="str">
        <f>HYPERLINK("https://ledvance.com/pt/product-datasheet/236124/218916","Ficha Técnica")</f>
        <v>Ficha Técnica</v>
      </c>
      <c r="H466" s="15">
        <v>4</v>
      </c>
      <c r="I466" s="163">
        <v>4320</v>
      </c>
      <c r="J466" s="15">
        <v>33</v>
      </c>
      <c r="K466" s="163" t="s">
        <v>155</v>
      </c>
      <c r="L466" s="15">
        <v>5</v>
      </c>
      <c r="M466" s="188">
        <v>157.5</v>
      </c>
      <c r="N466" s="169" t="s">
        <v>11</v>
      </c>
    </row>
    <row r="467" spans="1:14" x14ac:dyDescent="0.25">
      <c r="A467" s="63" t="s">
        <v>8</v>
      </c>
      <c r="B467" s="71" t="s">
        <v>2472</v>
      </c>
      <c r="C467" s="2">
        <v>4099854004124</v>
      </c>
      <c r="D467" s="84"/>
      <c r="E467" s="85"/>
      <c r="F467" s="16"/>
      <c r="G467" s="156" t="str">
        <f>HYPERLINK("https://ledvance.com/pt/product-datasheet/236125/218925","Ficha Técnica")</f>
        <v>Ficha Técnica</v>
      </c>
      <c r="H467" s="15">
        <v>4</v>
      </c>
      <c r="I467" s="163">
        <v>4320</v>
      </c>
      <c r="J467" s="15">
        <v>33</v>
      </c>
      <c r="K467" s="163" t="s">
        <v>155</v>
      </c>
      <c r="L467" s="15">
        <v>5</v>
      </c>
      <c r="M467" s="188">
        <v>166.8</v>
      </c>
      <c r="N467" s="169" t="s">
        <v>11</v>
      </c>
    </row>
    <row r="468" spans="1:14" x14ac:dyDescent="0.25">
      <c r="A468" s="63" t="s">
        <v>8</v>
      </c>
      <c r="B468" s="71" t="s">
        <v>2473</v>
      </c>
      <c r="C468" s="2">
        <v>4099854004162</v>
      </c>
      <c r="D468" s="84"/>
      <c r="E468" s="85"/>
      <c r="F468" s="16"/>
      <c r="G468" s="156" t="str">
        <f>HYPERLINK("https://ledvance.com/pt/product-datasheet/236125/218928","Ficha Técnica")</f>
        <v>Ficha Técnica</v>
      </c>
      <c r="H468" s="15">
        <v>4</v>
      </c>
      <c r="I468" s="163">
        <v>4320</v>
      </c>
      <c r="J468" s="15">
        <v>33</v>
      </c>
      <c r="K468" s="163" t="s">
        <v>155</v>
      </c>
      <c r="L468" s="15">
        <v>5</v>
      </c>
      <c r="M468" s="188">
        <v>166.8</v>
      </c>
      <c r="N468" s="169" t="s">
        <v>11</v>
      </c>
    </row>
    <row r="469" spans="1:14" x14ac:dyDescent="0.25">
      <c r="A469" s="66" t="s">
        <v>8</v>
      </c>
      <c r="B469" s="69" t="s">
        <v>165</v>
      </c>
      <c r="C469" s="51"/>
      <c r="D469" s="65"/>
      <c r="E469" s="86"/>
      <c r="F469" s="12"/>
      <c r="G469" s="157"/>
      <c r="H469" s="12"/>
      <c r="I469" s="62"/>
      <c r="J469" s="27"/>
      <c r="K469" s="62"/>
      <c r="L469" s="12"/>
      <c r="M469" s="191"/>
      <c r="N469" s="65"/>
    </row>
    <row r="470" spans="1:14" x14ac:dyDescent="0.25">
      <c r="A470" s="63" t="s">
        <v>8</v>
      </c>
      <c r="B470" s="71" t="s">
        <v>2474</v>
      </c>
      <c r="C470" s="2">
        <v>4099854017742</v>
      </c>
      <c r="D470" s="84"/>
      <c r="E470" s="85"/>
      <c r="F470" s="16"/>
      <c r="G470" s="156" t="str">
        <f>HYPERLINK("https://ledvance.com/pt/product-datasheet/236671/226396","Ficha Técnica")</f>
        <v>Ficha Técnica</v>
      </c>
      <c r="H470" s="15">
        <v>4</v>
      </c>
      <c r="I470" s="163">
        <v>3630</v>
      </c>
      <c r="J470" s="15">
        <v>33</v>
      </c>
      <c r="K470" s="163" t="s">
        <v>155</v>
      </c>
      <c r="L470" s="15">
        <v>5</v>
      </c>
      <c r="M470" s="188">
        <v>40.799999999999997</v>
      </c>
      <c r="N470" s="169" t="s">
        <v>11</v>
      </c>
    </row>
    <row r="471" spans="1:14" x14ac:dyDescent="0.25">
      <c r="A471" s="63" t="s">
        <v>8</v>
      </c>
      <c r="B471" s="71" t="s">
        <v>2475</v>
      </c>
      <c r="C471" s="2">
        <v>4099854017902</v>
      </c>
      <c r="D471" s="84"/>
      <c r="E471" s="85"/>
      <c r="F471" s="16"/>
      <c r="G471" s="156" t="str">
        <f>HYPERLINK("https://ledvance.com/pt/product-datasheet/236671/226399","Ficha Técnica")</f>
        <v>Ficha Técnica</v>
      </c>
      <c r="H471" s="15">
        <v>4</v>
      </c>
      <c r="I471" s="163">
        <v>3630</v>
      </c>
      <c r="J471" s="15">
        <v>33</v>
      </c>
      <c r="K471" s="163" t="s">
        <v>155</v>
      </c>
      <c r="L471" s="15">
        <v>5</v>
      </c>
      <c r="M471" s="188">
        <v>40.799999999999997</v>
      </c>
      <c r="N471" s="169" t="s">
        <v>11</v>
      </c>
    </row>
    <row r="472" spans="1:14" x14ac:dyDescent="0.25">
      <c r="A472" s="63" t="s">
        <v>8</v>
      </c>
      <c r="B472" s="71" t="s">
        <v>2476</v>
      </c>
      <c r="C472" s="2">
        <v>4099854017940</v>
      </c>
      <c r="D472" s="84"/>
      <c r="E472" s="85"/>
      <c r="F472" s="16"/>
      <c r="G472" s="156" t="str">
        <f>HYPERLINK("https://ledvance.com/pt/product-datasheet/236671/226402","Ficha Técnica")</f>
        <v>Ficha Técnica</v>
      </c>
      <c r="H472" s="15">
        <v>4</v>
      </c>
      <c r="I472" s="163">
        <v>3630</v>
      </c>
      <c r="J472" s="15">
        <v>33</v>
      </c>
      <c r="K472" s="163" t="s">
        <v>155</v>
      </c>
      <c r="L472" s="15">
        <v>5</v>
      </c>
      <c r="M472" s="188">
        <v>40.799999999999997</v>
      </c>
      <c r="N472" s="169" t="s">
        <v>11</v>
      </c>
    </row>
    <row r="473" spans="1:14" x14ac:dyDescent="0.25">
      <c r="A473" s="63" t="s">
        <v>8</v>
      </c>
      <c r="B473" s="71" t="s">
        <v>2477</v>
      </c>
      <c r="C473" s="2">
        <v>4099854017803</v>
      </c>
      <c r="D473" s="84"/>
      <c r="E473" s="85"/>
      <c r="F473" s="16"/>
      <c r="G473" s="156" t="str">
        <f>HYPERLINK("https://ledvance.com/pt/product-datasheet/236673/226438","Ficha Técnica")</f>
        <v>Ficha Técnica</v>
      </c>
      <c r="H473" s="15">
        <v>4</v>
      </c>
      <c r="I473" s="163">
        <v>3630</v>
      </c>
      <c r="J473" s="15">
        <v>33</v>
      </c>
      <c r="K473" s="163" t="s">
        <v>155</v>
      </c>
      <c r="L473" s="15">
        <v>5</v>
      </c>
      <c r="M473" s="188">
        <v>71.2</v>
      </c>
      <c r="N473" s="169" t="s">
        <v>11</v>
      </c>
    </row>
    <row r="474" spans="1:14" x14ac:dyDescent="0.25">
      <c r="A474" s="63" t="s">
        <v>8</v>
      </c>
      <c r="B474" s="71" t="s">
        <v>2478</v>
      </c>
      <c r="C474" s="2">
        <v>4099854017926</v>
      </c>
      <c r="D474" s="84"/>
      <c r="E474" s="85"/>
      <c r="F474" s="16"/>
      <c r="G474" s="156" t="str">
        <f>HYPERLINK("https://ledvance.com/pt/product-datasheet/236673/226441","Ficha Técnica")</f>
        <v>Ficha Técnica</v>
      </c>
      <c r="H474" s="15">
        <v>4</v>
      </c>
      <c r="I474" s="163">
        <v>3630</v>
      </c>
      <c r="J474" s="15">
        <v>33</v>
      </c>
      <c r="K474" s="163" t="s">
        <v>155</v>
      </c>
      <c r="L474" s="15">
        <v>5</v>
      </c>
      <c r="M474" s="188">
        <v>71.2</v>
      </c>
      <c r="N474" s="169" t="s">
        <v>11</v>
      </c>
    </row>
    <row r="475" spans="1:14" x14ac:dyDescent="0.25">
      <c r="A475" s="63" t="s">
        <v>8</v>
      </c>
      <c r="B475" s="71" t="s">
        <v>2479</v>
      </c>
      <c r="C475" s="2">
        <v>4099854017025</v>
      </c>
      <c r="D475" s="84"/>
      <c r="E475" s="85"/>
      <c r="F475" s="16"/>
      <c r="G475" s="156" t="str">
        <f>HYPERLINK("https://ledvance.com/pt/product-datasheet/236673/226444","Ficha Técnica")</f>
        <v>Ficha Técnica</v>
      </c>
      <c r="H475" s="15">
        <v>4</v>
      </c>
      <c r="I475" s="163">
        <v>3630</v>
      </c>
      <c r="J475" s="15">
        <v>33</v>
      </c>
      <c r="K475" s="163" t="s">
        <v>155</v>
      </c>
      <c r="L475" s="15">
        <v>5</v>
      </c>
      <c r="M475" s="188">
        <v>71.2</v>
      </c>
      <c r="N475" s="169" t="s">
        <v>11</v>
      </c>
    </row>
    <row r="476" spans="1:14" x14ac:dyDescent="0.25">
      <c r="A476" s="66" t="s">
        <v>8</v>
      </c>
      <c r="B476" s="69" t="s">
        <v>166</v>
      </c>
      <c r="C476" s="51"/>
      <c r="D476" s="65"/>
      <c r="E476" s="86"/>
      <c r="F476" s="12"/>
      <c r="G476" s="157"/>
      <c r="H476" s="12"/>
      <c r="I476" s="62"/>
      <c r="J476" s="27"/>
      <c r="K476" s="62"/>
      <c r="L476" s="12"/>
      <c r="M476" s="191"/>
      <c r="N476" s="65"/>
    </row>
    <row r="477" spans="1:14" x14ac:dyDescent="0.25">
      <c r="A477" s="63" t="s">
        <v>8</v>
      </c>
      <c r="B477" s="71" t="s">
        <v>2480</v>
      </c>
      <c r="C477" s="2">
        <v>4099854017063</v>
      </c>
      <c r="D477" s="84"/>
      <c r="E477" s="85"/>
      <c r="F477" s="16"/>
      <c r="G477" s="156" t="str">
        <f>HYPERLINK("https://ledvance.com/pt/product-datasheet/236672/226405","Ficha Técnica")</f>
        <v>Ficha Técnica</v>
      </c>
      <c r="H477" s="15">
        <v>4</v>
      </c>
      <c r="I477" s="163">
        <v>3630</v>
      </c>
      <c r="J477" s="15">
        <v>33</v>
      </c>
      <c r="K477" s="163" t="s">
        <v>155</v>
      </c>
      <c r="L477" s="15">
        <v>5</v>
      </c>
      <c r="M477" s="188">
        <v>49.4</v>
      </c>
      <c r="N477" s="169" t="s">
        <v>11</v>
      </c>
    </row>
    <row r="478" spans="1:14" x14ac:dyDescent="0.25">
      <c r="A478" s="63" t="s">
        <v>8</v>
      </c>
      <c r="B478" s="71" t="s">
        <v>2481</v>
      </c>
      <c r="C478" s="2">
        <v>4099854017223</v>
      </c>
      <c r="D478" s="84"/>
      <c r="E478" s="85"/>
      <c r="F478" s="16"/>
      <c r="G478" s="156" t="str">
        <f>HYPERLINK("https://ledvance.com/pt/product-datasheet/236672/226408","Ficha Técnica")</f>
        <v>Ficha Técnica</v>
      </c>
      <c r="H478" s="15">
        <v>4</v>
      </c>
      <c r="I478" s="163">
        <v>3630</v>
      </c>
      <c r="J478" s="15">
        <v>33</v>
      </c>
      <c r="K478" s="163" t="s">
        <v>155</v>
      </c>
      <c r="L478" s="15">
        <v>5</v>
      </c>
      <c r="M478" s="188">
        <v>49.4</v>
      </c>
      <c r="N478" s="169" t="s">
        <v>11</v>
      </c>
    </row>
    <row r="479" spans="1:14" x14ac:dyDescent="0.25">
      <c r="A479" s="63" t="s">
        <v>8</v>
      </c>
      <c r="B479" s="71" t="s">
        <v>2482</v>
      </c>
      <c r="C479" s="2">
        <v>4099854017308</v>
      </c>
      <c r="D479" s="84"/>
      <c r="E479" s="85"/>
      <c r="F479" s="16"/>
      <c r="G479" s="156" t="str">
        <f>HYPERLINK("https://ledvance.com/pt/product-datasheet/236672/226411","Ficha Técnica")</f>
        <v>Ficha Técnica</v>
      </c>
      <c r="H479" s="15">
        <v>4</v>
      </c>
      <c r="I479" s="163">
        <v>3630</v>
      </c>
      <c r="J479" s="15">
        <v>33</v>
      </c>
      <c r="K479" s="163" t="s">
        <v>155</v>
      </c>
      <c r="L479" s="15">
        <v>5</v>
      </c>
      <c r="M479" s="188">
        <v>49.4</v>
      </c>
      <c r="N479" s="169" t="s">
        <v>11</v>
      </c>
    </row>
    <row r="480" spans="1:14" x14ac:dyDescent="0.25">
      <c r="A480" s="63" t="s">
        <v>8</v>
      </c>
      <c r="B480" s="71" t="s">
        <v>2483</v>
      </c>
      <c r="C480" s="59">
        <v>4099854206535</v>
      </c>
      <c r="D480" s="97"/>
      <c r="E480" s="98"/>
      <c r="F480" s="16"/>
      <c r="G480" s="156" t="str">
        <f>HYPERLINK("https://ledvance.com/pt/product-datasheet/296244/277369","Ficha Técnica")</f>
        <v>Ficha Técnica</v>
      </c>
      <c r="H480" s="15">
        <v>4</v>
      </c>
      <c r="I480" s="163" t="s">
        <v>1709</v>
      </c>
      <c r="J480" s="15" t="s">
        <v>1710</v>
      </c>
      <c r="K480" s="163" t="s">
        <v>155</v>
      </c>
      <c r="L480" s="15">
        <v>5</v>
      </c>
      <c r="M480" s="188">
        <v>56.4</v>
      </c>
      <c r="N480" s="169" t="s">
        <v>11</v>
      </c>
    </row>
    <row r="481" spans="1:14" x14ac:dyDescent="0.25">
      <c r="A481" s="63" t="s">
        <v>8</v>
      </c>
      <c r="B481" s="71" t="s">
        <v>2484</v>
      </c>
      <c r="C481" s="2">
        <v>4099854017100</v>
      </c>
      <c r="D481" s="84"/>
      <c r="E481" s="85"/>
      <c r="F481" s="16"/>
      <c r="G481" s="156" t="str">
        <f>HYPERLINK("https://ledvance.com/pt/product-datasheet/236674/226448","Ficha Técnica")</f>
        <v>Ficha Técnica</v>
      </c>
      <c r="H481" s="15">
        <v>4</v>
      </c>
      <c r="I481" s="163">
        <v>3630</v>
      </c>
      <c r="J481" s="15">
        <v>33</v>
      </c>
      <c r="K481" s="163" t="s">
        <v>155</v>
      </c>
      <c r="L481" s="15">
        <v>5</v>
      </c>
      <c r="M481" s="188">
        <v>85.9</v>
      </c>
      <c r="N481" s="169" t="s">
        <v>11</v>
      </c>
    </row>
    <row r="482" spans="1:14" x14ac:dyDescent="0.25">
      <c r="A482" s="63" t="s">
        <v>8</v>
      </c>
      <c r="B482" s="71" t="s">
        <v>2485</v>
      </c>
      <c r="C482" s="2">
        <v>4099854017261</v>
      </c>
      <c r="D482" s="84"/>
      <c r="E482" s="85"/>
      <c r="F482" s="16"/>
      <c r="G482" s="156" t="str">
        <f>HYPERLINK("https://ledvance.com/pt/product-datasheet/236674/226452","Ficha Técnica")</f>
        <v>Ficha Técnica</v>
      </c>
      <c r="H482" s="15">
        <v>4</v>
      </c>
      <c r="I482" s="163">
        <v>3630</v>
      </c>
      <c r="J482" s="15">
        <v>33</v>
      </c>
      <c r="K482" s="163" t="s">
        <v>155</v>
      </c>
      <c r="L482" s="15">
        <v>5</v>
      </c>
      <c r="M482" s="188">
        <v>85.9</v>
      </c>
      <c r="N482" s="169" t="s">
        <v>11</v>
      </c>
    </row>
    <row r="483" spans="1:14" x14ac:dyDescent="0.25">
      <c r="A483" s="63" t="s">
        <v>8</v>
      </c>
      <c r="B483" s="71" t="s">
        <v>2486</v>
      </c>
      <c r="C483" s="2">
        <v>4099854017322</v>
      </c>
      <c r="D483" s="84"/>
      <c r="E483" s="85"/>
      <c r="F483" s="16"/>
      <c r="G483" s="156" t="str">
        <f>HYPERLINK("https://ledvance.com/pt/product-datasheet/236674/226456","Ficha Técnica")</f>
        <v>Ficha Técnica</v>
      </c>
      <c r="H483" s="15">
        <v>4</v>
      </c>
      <c r="I483" s="163">
        <v>3630</v>
      </c>
      <c r="J483" s="15">
        <v>33</v>
      </c>
      <c r="K483" s="163" t="s">
        <v>155</v>
      </c>
      <c r="L483" s="15">
        <v>5</v>
      </c>
      <c r="M483" s="188">
        <v>85.9</v>
      </c>
      <c r="N483" s="169" t="s">
        <v>11</v>
      </c>
    </row>
    <row r="484" spans="1:14" x14ac:dyDescent="0.25">
      <c r="A484" s="63" t="s">
        <v>8</v>
      </c>
      <c r="B484" s="71" t="s">
        <v>2487</v>
      </c>
      <c r="C484" s="59">
        <v>4099854206603</v>
      </c>
      <c r="D484" s="97"/>
      <c r="E484" s="98"/>
      <c r="F484" s="16"/>
      <c r="G484" s="156" t="str">
        <f>HYPERLINK("https://ledvance.com/pt/product-datasheet/296245/277383","Ficha Técnica")</f>
        <v>Ficha Técnica</v>
      </c>
      <c r="H484" s="15">
        <v>4</v>
      </c>
      <c r="I484" s="163">
        <v>3850</v>
      </c>
      <c r="J484" s="15">
        <v>35</v>
      </c>
      <c r="K484" s="163" t="s">
        <v>155</v>
      </c>
      <c r="L484" s="15">
        <v>5</v>
      </c>
      <c r="M484" s="188">
        <v>89</v>
      </c>
      <c r="N484" s="169" t="s">
        <v>11</v>
      </c>
    </row>
    <row r="485" spans="1:14" x14ac:dyDescent="0.25">
      <c r="A485" s="66" t="s">
        <v>8</v>
      </c>
      <c r="B485" s="69" t="s">
        <v>167</v>
      </c>
      <c r="C485" s="51"/>
      <c r="D485" s="65"/>
      <c r="E485" s="86"/>
      <c r="F485" s="12"/>
      <c r="G485" s="157"/>
      <c r="H485" s="12"/>
      <c r="I485" s="62"/>
      <c r="J485" s="27"/>
      <c r="K485" s="62"/>
      <c r="L485" s="12"/>
      <c r="M485" s="191"/>
      <c r="N485" s="65"/>
    </row>
    <row r="486" spans="1:14" x14ac:dyDescent="0.25">
      <c r="A486" s="63" t="s">
        <v>8</v>
      </c>
      <c r="B486" s="71" t="s">
        <v>2488</v>
      </c>
      <c r="C486" s="2">
        <v>4099854017346</v>
      </c>
      <c r="D486" s="84"/>
      <c r="E486" s="85"/>
      <c r="F486" s="16"/>
      <c r="G486" s="156" t="str">
        <f>HYPERLINK("https://ledvance.com/pt/product-datasheet/236685/226414","Ficha Técnica")</f>
        <v>Ficha Técnica</v>
      </c>
      <c r="H486" s="15">
        <v>4</v>
      </c>
      <c r="I486" s="163">
        <v>3120</v>
      </c>
      <c r="J486" s="15">
        <v>30</v>
      </c>
      <c r="K486" s="163" t="s">
        <v>155</v>
      </c>
      <c r="L486" s="15">
        <v>5</v>
      </c>
      <c r="M486" s="188">
        <v>71.8</v>
      </c>
      <c r="N486" s="169" t="s">
        <v>11</v>
      </c>
    </row>
    <row r="487" spans="1:14" x14ac:dyDescent="0.25">
      <c r="A487" s="63" t="s">
        <v>8</v>
      </c>
      <c r="B487" s="71" t="s">
        <v>2489</v>
      </c>
      <c r="C487" s="2">
        <v>4099854017360</v>
      </c>
      <c r="D487" s="84"/>
      <c r="E487" s="85"/>
      <c r="F487" s="16"/>
      <c r="G487" s="156" t="str">
        <f>HYPERLINK("https://ledvance.com/pt/product-datasheet/236685/226417","Ficha Técnica")</f>
        <v>Ficha Técnica</v>
      </c>
      <c r="H487" s="15">
        <v>4</v>
      </c>
      <c r="I487" s="163">
        <v>3640</v>
      </c>
      <c r="J487" s="15">
        <v>35</v>
      </c>
      <c r="K487" s="163" t="s">
        <v>155</v>
      </c>
      <c r="L487" s="15">
        <v>5</v>
      </c>
      <c r="M487" s="188">
        <v>90.5</v>
      </c>
      <c r="N487" s="169" t="s">
        <v>11</v>
      </c>
    </row>
    <row r="488" spans="1:14" x14ac:dyDescent="0.25">
      <c r="A488" s="63" t="s">
        <v>8</v>
      </c>
      <c r="B488" s="71" t="s">
        <v>2490</v>
      </c>
      <c r="C488" s="2">
        <v>4099854017384</v>
      </c>
      <c r="D488" s="84"/>
      <c r="E488" s="85"/>
      <c r="F488" s="16"/>
      <c r="G488" s="156" t="str">
        <f>HYPERLINK("https://ledvance.com/pt/product-datasheet/236686/226460","Ficha Técnica")</f>
        <v>Ficha Técnica</v>
      </c>
      <c r="H488" s="15">
        <v>4</v>
      </c>
      <c r="I488" s="163">
        <v>3640</v>
      </c>
      <c r="J488" s="15">
        <v>35</v>
      </c>
      <c r="K488" s="163" t="s">
        <v>155</v>
      </c>
      <c r="L488" s="15">
        <v>5</v>
      </c>
      <c r="M488" s="188">
        <v>121.6</v>
      </c>
      <c r="N488" s="169" t="s">
        <v>11</v>
      </c>
    </row>
    <row r="489" spans="1:14" x14ac:dyDescent="0.25">
      <c r="A489" s="66" t="s">
        <v>8</v>
      </c>
      <c r="B489" s="69" t="s">
        <v>168</v>
      </c>
      <c r="C489" s="51"/>
      <c r="D489" s="65"/>
      <c r="E489" s="86"/>
      <c r="F489" s="12"/>
      <c r="G489" s="157"/>
      <c r="H489" s="12"/>
      <c r="I489" s="62"/>
      <c r="J489" s="27"/>
      <c r="K489" s="62"/>
      <c r="L489" s="12"/>
      <c r="M489" s="191"/>
      <c r="N489" s="65"/>
    </row>
    <row r="490" spans="1:14" x14ac:dyDescent="0.25">
      <c r="A490" s="63" t="s">
        <v>8</v>
      </c>
      <c r="B490" s="71" t="s">
        <v>2491</v>
      </c>
      <c r="C490" s="2">
        <v>4099854017162</v>
      </c>
      <c r="D490" s="84"/>
      <c r="E490" s="85"/>
      <c r="F490" s="16"/>
      <c r="G490" s="156" t="str">
        <f>HYPERLINK("https://ledvance.com/pt/product-datasheet/236679/226384","Ficha Técnica")</f>
        <v>Ficha Técnica</v>
      </c>
      <c r="H490" s="15">
        <v>4</v>
      </c>
      <c r="I490" s="163">
        <v>3630</v>
      </c>
      <c r="J490" s="15">
        <v>33</v>
      </c>
      <c r="K490" s="163" t="s">
        <v>155</v>
      </c>
      <c r="L490" s="15">
        <v>5</v>
      </c>
      <c r="M490" s="188">
        <v>56.2</v>
      </c>
      <c r="N490" s="169" t="s">
        <v>11</v>
      </c>
    </row>
    <row r="491" spans="1:14" x14ac:dyDescent="0.25">
      <c r="A491" s="63" t="s">
        <v>8</v>
      </c>
      <c r="B491" s="71" t="s">
        <v>2492</v>
      </c>
      <c r="C491" s="2">
        <v>4099854017209</v>
      </c>
      <c r="D491" s="84"/>
      <c r="E491" s="85"/>
      <c r="F491" s="16"/>
      <c r="G491" s="156" t="str">
        <f>HYPERLINK("https://ledvance.com/pt/product-datasheet/236680/226387","Ficha Técnica")</f>
        <v>Ficha Técnica</v>
      </c>
      <c r="H491" s="15">
        <v>4</v>
      </c>
      <c r="I491" s="163">
        <v>3630</v>
      </c>
      <c r="J491" s="15">
        <v>33</v>
      </c>
      <c r="K491" s="163" t="s">
        <v>155</v>
      </c>
      <c r="L491" s="15">
        <v>5</v>
      </c>
      <c r="M491" s="188">
        <v>62.5</v>
      </c>
      <c r="N491" s="169" t="s">
        <v>11</v>
      </c>
    </row>
    <row r="492" spans="1:14" x14ac:dyDescent="0.25">
      <c r="A492" s="63" t="s">
        <v>8</v>
      </c>
      <c r="B492" s="71" t="s">
        <v>2493</v>
      </c>
      <c r="C492" s="2">
        <v>4099854017186</v>
      </c>
      <c r="D492" s="84"/>
      <c r="E492" s="85"/>
      <c r="F492" s="16"/>
      <c r="G492" s="156" t="str">
        <f>HYPERLINK("https://ledvance.com/pt/product-datasheet/236681/226426","Ficha Técnica")</f>
        <v>Ficha Técnica</v>
      </c>
      <c r="H492" s="15">
        <v>4</v>
      </c>
      <c r="I492" s="163">
        <v>3630</v>
      </c>
      <c r="J492" s="15">
        <v>33</v>
      </c>
      <c r="K492" s="163" t="s">
        <v>155</v>
      </c>
      <c r="L492" s="15">
        <v>5</v>
      </c>
      <c r="M492" s="188">
        <v>87.4</v>
      </c>
      <c r="N492" s="169" t="s">
        <v>11</v>
      </c>
    </row>
    <row r="493" spans="1:14" x14ac:dyDescent="0.25">
      <c r="A493" s="63" t="s">
        <v>8</v>
      </c>
      <c r="B493" s="71" t="s">
        <v>2494</v>
      </c>
      <c r="C493" s="2">
        <v>4099854017247</v>
      </c>
      <c r="D493" s="84"/>
      <c r="E493" s="85"/>
      <c r="F493" s="16"/>
      <c r="G493" s="156" t="str">
        <f>HYPERLINK("https://ledvance.com/pt/product-datasheet/236682/226429","Ficha Técnica")</f>
        <v>Ficha Técnica</v>
      </c>
      <c r="H493" s="15">
        <v>4</v>
      </c>
      <c r="I493" s="163">
        <v>3630</v>
      </c>
      <c r="J493" s="15">
        <v>33</v>
      </c>
      <c r="K493" s="163" t="s">
        <v>155</v>
      </c>
      <c r="L493" s="15">
        <v>5</v>
      </c>
      <c r="M493" s="188">
        <v>93.6</v>
      </c>
      <c r="N493" s="169" t="s">
        <v>11</v>
      </c>
    </row>
    <row r="494" spans="1:14" x14ac:dyDescent="0.25">
      <c r="A494" s="66" t="s">
        <v>8</v>
      </c>
      <c r="B494" s="69" t="s">
        <v>169</v>
      </c>
      <c r="C494" s="51"/>
      <c r="D494" s="65"/>
      <c r="E494" s="86"/>
      <c r="F494" s="12"/>
      <c r="G494" s="157"/>
      <c r="H494" s="12"/>
      <c r="I494" s="62"/>
      <c r="J494" s="27"/>
      <c r="K494" s="62"/>
      <c r="L494" s="12"/>
      <c r="M494" s="191"/>
      <c r="N494" s="65"/>
    </row>
    <row r="495" spans="1:14" x14ac:dyDescent="0.25">
      <c r="A495" s="63" t="s">
        <v>8</v>
      </c>
      <c r="B495" s="71" t="s">
        <v>2495</v>
      </c>
      <c r="C495" s="2">
        <v>4099854017285</v>
      </c>
      <c r="D495" s="84"/>
      <c r="E495" s="85"/>
      <c r="F495" s="16"/>
      <c r="G495" s="156" t="str">
        <f>HYPERLINK("https://ledvance.com/pt/product-datasheet/236687/226390","Ficha Técnica")</f>
        <v>Ficha Técnica</v>
      </c>
      <c r="H495" s="15">
        <v>4</v>
      </c>
      <c r="I495" s="163">
        <v>3640</v>
      </c>
      <c r="J495" s="15">
        <v>35</v>
      </c>
      <c r="K495" s="163" t="s">
        <v>155</v>
      </c>
      <c r="L495" s="15">
        <v>5</v>
      </c>
      <c r="M495" s="188">
        <v>71.8</v>
      </c>
      <c r="N495" s="169" t="s">
        <v>11</v>
      </c>
    </row>
    <row r="496" spans="1:14" x14ac:dyDescent="0.25">
      <c r="A496" s="63" t="s">
        <v>8</v>
      </c>
      <c r="B496" s="71" t="s">
        <v>2496</v>
      </c>
      <c r="C496" s="2">
        <v>4099854017520</v>
      </c>
      <c r="D496" s="84"/>
      <c r="E496" s="85"/>
      <c r="F496" s="16"/>
      <c r="G496" s="156" t="str">
        <f>HYPERLINK("https://ledvance.com/pt/product-datasheet/236688/226432","Ficha Técnica")</f>
        <v>Ficha Técnica</v>
      </c>
      <c r="H496" s="15">
        <v>4</v>
      </c>
      <c r="I496" s="163">
        <v>3640</v>
      </c>
      <c r="J496" s="15">
        <v>35</v>
      </c>
      <c r="K496" s="163" t="s">
        <v>155</v>
      </c>
      <c r="L496" s="15">
        <v>5</v>
      </c>
      <c r="M496" s="188">
        <v>102.9</v>
      </c>
      <c r="N496" s="169" t="s">
        <v>11</v>
      </c>
    </row>
    <row r="497" spans="1:14" x14ac:dyDescent="0.25">
      <c r="A497" s="66" t="s">
        <v>8</v>
      </c>
      <c r="B497" s="69" t="s">
        <v>170</v>
      </c>
      <c r="C497" s="51"/>
      <c r="D497" s="65"/>
      <c r="E497" s="86"/>
      <c r="F497" s="12"/>
      <c r="G497" s="157"/>
      <c r="H497" s="12"/>
      <c r="I497" s="62"/>
      <c r="J497" s="27"/>
      <c r="K497" s="62"/>
      <c r="L497" s="12"/>
      <c r="M497" s="191"/>
      <c r="N497" s="65"/>
    </row>
    <row r="498" spans="1:14" x14ac:dyDescent="0.25">
      <c r="A498" s="63" t="s">
        <v>8</v>
      </c>
      <c r="B498" s="72" t="s">
        <v>2497</v>
      </c>
      <c r="C498" s="59">
        <v>4099854113680</v>
      </c>
      <c r="D498" s="99"/>
      <c r="E498" s="100"/>
      <c r="F498" s="13"/>
      <c r="G498" s="156" t="str">
        <f>HYPERLINK("https://ledvance.com/pt/product-datasheet/266419/254580","Ficha Técnica")</f>
        <v>Ficha Técnica</v>
      </c>
      <c r="H498" s="15">
        <v>2</v>
      </c>
      <c r="I498" s="163">
        <v>5830</v>
      </c>
      <c r="J498" s="15">
        <v>53</v>
      </c>
      <c r="K498" s="163" t="s">
        <v>155</v>
      </c>
      <c r="L498" s="15">
        <v>5</v>
      </c>
      <c r="M498" s="188">
        <v>118.6</v>
      </c>
      <c r="N498" s="169" t="s">
        <v>11</v>
      </c>
    </row>
    <row r="499" spans="1:14" x14ac:dyDescent="0.25">
      <c r="A499" s="63" t="s">
        <v>8</v>
      </c>
      <c r="B499" s="72" t="s">
        <v>2498</v>
      </c>
      <c r="C499" s="59">
        <v>4099854113703</v>
      </c>
      <c r="D499" s="90"/>
      <c r="E499" s="91"/>
      <c r="F499" s="13"/>
      <c r="G499" s="156" t="str">
        <f>HYPERLINK("https://ledvance.com/pt/product-datasheet/266420/254583","Ficha Técnica")</f>
        <v>Ficha Técnica</v>
      </c>
      <c r="H499" s="15">
        <v>2</v>
      </c>
      <c r="I499" s="163">
        <v>5830</v>
      </c>
      <c r="J499" s="15">
        <v>53</v>
      </c>
      <c r="K499" s="163" t="s">
        <v>155</v>
      </c>
      <c r="L499" s="15">
        <v>5</v>
      </c>
      <c r="M499" s="188">
        <v>149.69999999999999</v>
      </c>
      <c r="N499" s="169" t="s">
        <v>11</v>
      </c>
    </row>
    <row r="500" spans="1:14" x14ac:dyDescent="0.25">
      <c r="A500" s="66" t="s">
        <v>8</v>
      </c>
      <c r="B500" s="69" t="s">
        <v>171</v>
      </c>
      <c r="C500" s="51"/>
      <c r="D500" s="65"/>
      <c r="E500" s="86"/>
      <c r="F500" s="12"/>
      <c r="G500" s="157"/>
      <c r="H500" s="12"/>
      <c r="I500" s="62"/>
      <c r="J500" s="27"/>
      <c r="K500" s="62"/>
      <c r="L500" s="12"/>
      <c r="M500" s="191"/>
      <c r="N500" s="65"/>
    </row>
    <row r="501" spans="1:14" x14ac:dyDescent="0.25">
      <c r="A501" s="63" t="s">
        <v>8</v>
      </c>
      <c r="B501" s="71" t="s">
        <v>2499</v>
      </c>
      <c r="C501" s="2">
        <v>4099854017643</v>
      </c>
      <c r="D501" s="84"/>
      <c r="E501" s="85"/>
      <c r="F501" s="16"/>
      <c r="G501" s="156" t="str">
        <f>HYPERLINK("https://ledvance.com/pt/product-datasheet/236683/226393","Ficha Técnica")</f>
        <v>Ficha Técnica</v>
      </c>
      <c r="H501" s="15">
        <v>2</v>
      </c>
      <c r="I501" s="163">
        <v>5830</v>
      </c>
      <c r="J501" s="15">
        <v>53</v>
      </c>
      <c r="K501" s="163" t="s">
        <v>155</v>
      </c>
      <c r="L501" s="15">
        <v>5</v>
      </c>
      <c r="M501" s="188">
        <v>125.8</v>
      </c>
      <c r="N501" s="169" t="s">
        <v>11</v>
      </c>
    </row>
    <row r="502" spans="1:14" x14ac:dyDescent="0.25">
      <c r="A502" s="63" t="s">
        <v>8</v>
      </c>
      <c r="B502" s="71" t="s">
        <v>2500</v>
      </c>
      <c r="C502" s="2">
        <v>4099854017704</v>
      </c>
      <c r="D502" s="84"/>
      <c r="E502" s="85"/>
      <c r="F502" s="16"/>
      <c r="G502" s="156" t="str">
        <f>HYPERLINK("https://ledvance.com/pt/product-datasheet/236684/226435","Ficha Técnica")</f>
        <v>Ficha Técnica</v>
      </c>
      <c r="H502" s="15">
        <v>2</v>
      </c>
      <c r="I502" s="163">
        <v>5830</v>
      </c>
      <c r="J502" s="15">
        <v>53</v>
      </c>
      <c r="K502" s="163" t="s">
        <v>155</v>
      </c>
      <c r="L502" s="15">
        <v>5</v>
      </c>
      <c r="M502" s="188">
        <v>156.9</v>
      </c>
      <c r="N502" s="169" t="s">
        <v>11</v>
      </c>
    </row>
    <row r="503" spans="1:14" x14ac:dyDescent="0.25">
      <c r="A503" s="66" t="s">
        <v>8</v>
      </c>
      <c r="B503" s="69" t="s">
        <v>172</v>
      </c>
      <c r="C503" s="51"/>
      <c r="D503" s="65"/>
      <c r="E503" s="86"/>
      <c r="F503" s="12"/>
      <c r="G503" s="157"/>
      <c r="H503" s="12"/>
      <c r="I503" s="62"/>
      <c r="J503" s="27"/>
      <c r="K503" s="62"/>
      <c r="L503" s="12"/>
      <c r="M503" s="191"/>
      <c r="N503" s="65"/>
    </row>
    <row r="504" spans="1:14" x14ac:dyDescent="0.25">
      <c r="A504" s="63" t="s">
        <v>8</v>
      </c>
      <c r="B504" s="71" t="s">
        <v>2501</v>
      </c>
      <c r="C504" s="2">
        <v>4099854187230</v>
      </c>
      <c r="D504" s="84"/>
      <c r="E504" s="101"/>
      <c r="F504" s="13"/>
      <c r="G504" s="156" t="str">
        <f>HYPERLINK("https://ledvance.com/pt/product-datasheet/281969/272007","Ficha Técnica")</f>
        <v>Ficha Técnica</v>
      </c>
      <c r="H504" s="15">
        <v>6</v>
      </c>
      <c r="I504" s="163">
        <v>3600</v>
      </c>
      <c r="J504" s="15">
        <v>36</v>
      </c>
      <c r="K504" s="163" t="s">
        <v>155</v>
      </c>
      <c r="L504" s="15">
        <v>3</v>
      </c>
      <c r="M504" s="188">
        <v>29.2</v>
      </c>
      <c r="N504" s="169" t="s">
        <v>11</v>
      </c>
    </row>
    <row r="505" spans="1:14" x14ac:dyDescent="0.25">
      <c r="A505" s="63" t="s">
        <v>8</v>
      </c>
      <c r="B505" s="71" t="s">
        <v>2502</v>
      </c>
      <c r="C505" s="2">
        <v>4099854187254</v>
      </c>
      <c r="D505" s="84"/>
      <c r="E505" s="101"/>
      <c r="F505" s="13"/>
      <c r="G505" s="156" t="str">
        <f>HYPERLINK("https://ledvance.com/pt/product-datasheet/281969/272010","Ficha Técnica")</f>
        <v>Ficha Técnica</v>
      </c>
      <c r="H505" s="15">
        <v>6</v>
      </c>
      <c r="I505" s="163">
        <v>3600</v>
      </c>
      <c r="J505" s="15">
        <v>36</v>
      </c>
      <c r="K505" s="163" t="s">
        <v>155</v>
      </c>
      <c r="L505" s="15">
        <v>3</v>
      </c>
      <c r="M505" s="188">
        <v>29.2</v>
      </c>
      <c r="N505" s="169" t="s">
        <v>11</v>
      </c>
    </row>
    <row r="506" spans="1:14" x14ac:dyDescent="0.25">
      <c r="A506" s="63" t="s">
        <v>8</v>
      </c>
      <c r="B506" s="71" t="s">
        <v>2503</v>
      </c>
      <c r="C506" s="2">
        <v>4099854187278</v>
      </c>
      <c r="D506" s="84"/>
      <c r="E506" s="101"/>
      <c r="F506" s="13"/>
      <c r="G506" s="156" t="str">
        <f>HYPERLINK("https://ledvance.com/pt/product-datasheet/281969/272013","Ficha Técnica")</f>
        <v>Ficha Técnica</v>
      </c>
      <c r="H506" s="15">
        <v>6</v>
      </c>
      <c r="I506" s="163">
        <v>3600</v>
      </c>
      <c r="J506" s="15">
        <v>36</v>
      </c>
      <c r="K506" s="163" t="s">
        <v>155</v>
      </c>
      <c r="L506" s="15">
        <v>3</v>
      </c>
      <c r="M506" s="188">
        <v>29.2</v>
      </c>
      <c r="N506" s="169" t="s">
        <v>11</v>
      </c>
    </row>
    <row r="507" spans="1:14" x14ac:dyDescent="0.25">
      <c r="A507" s="66" t="s">
        <v>8</v>
      </c>
      <c r="B507" s="69" t="s">
        <v>173</v>
      </c>
      <c r="C507" s="51"/>
      <c r="D507" s="65"/>
      <c r="E507" s="86"/>
      <c r="F507" s="12"/>
      <c r="G507" s="157"/>
      <c r="H507" s="12"/>
      <c r="I507" s="62"/>
      <c r="J507" s="27"/>
      <c r="K507" s="62"/>
      <c r="L507" s="12"/>
      <c r="M507" s="191"/>
      <c r="N507" s="65"/>
    </row>
    <row r="508" spans="1:14" x14ac:dyDescent="0.25">
      <c r="A508" s="63" t="s">
        <v>8</v>
      </c>
      <c r="B508" s="71" t="s">
        <v>2504</v>
      </c>
      <c r="C508" s="2">
        <v>4099854187292</v>
      </c>
      <c r="D508" s="84"/>
      <c r="E508" s="101"/>
      <c r="F508" s="13"/>
      <c r="G508" s="156" t="str">
        <f>HYPERLINK("https://ledvance.com/pt/product-datasheet/281970/272016","Ficha Técnica")</f>
        <v>Ficha Técnica</v>
      </c>
      <c r="H508" s="15">
        <v>6</v>
      </c>
      <c r="I508" s="163">
        <v>3600</v>
      </c>
      <c r="J508" s="15">
        <v>36</v>
      </c>
      <c r="K508" s="163" t="s">
        <v>155</v>
      </c>
      <c r="L508" s="15">
        <v>3</v>
      </c>
      <c r="M508" s="188">
        <v>35.700000000000003</v>
      </c>
      <c r="N508" s="169" t="s">
        <v>11</v>
      </c>
    </row>
    <row r="509" spans="1:14" x14ac:dyDescent="0.25">
      <c r="A509" s="63" t="s">
        <v>8</v>
      </c>
      <c r="B509" s="71" t="s">
        <v>2505</v>
      </c>
      <c r="C509" s="2">
        <v>4099854187315</v>
      </c>
      <c r="D509" s="84"/>
      <c r="E509" s="101"/>
      <c r="F509" s="13"/>
      <c r="G509" s="156" t="str">
        <f>HYPERLINK("https://ledvance.com/pt/product-datasheet/281970/272019","Ficha Técnica")</f>
        <v>Ficha Técnica</v>
      </c>
      <c r="H509" s="15">
        <v>6</v>
      </c>
      <c r="I509" s="163">
        <v>3600</v>
      </c>
      <c r="J509" s="15">
        <v>36</v>
      </c>
      <c r="K509" s="163" t="s">
        <v>155</v>
      </c>
      <c r="L509" s="15">
        <v>3</v>
      </c>
      <c r="M509" s="188">
        <v>35.700000000000003</v>
      </c>
      <c r="N509" s="169" t="s">
        <v>11</v>
      </c>
    </row>
    <row r="510" spans="1:14" x14ac:dyDescent="0.25">
      <c r="A510" s="63" t="s">
        <v>8</v>
      </c>
      <c r="B510" s="71" t="s">
        <v>2506</v>
      </c>
      <c r="C510" s="2">
        <v>4099854187339</v>
      </c>
      <c r="D510" s="84"/>
      <c r="E510" s="101"/>
      <c r="F510" s="13"/>
      <c r="G510" s="156" t="str">
        <f>HYPERLINK("https://ledvance.com/pt/product-datasheet/281970/272022","Ficha Técnica")</f>
        <v>Ficha Técnica</v>
      </c>
      <c r="H510" s="15">
        <v>6</v>
      </c>
      <c r="I510" s="163">
        <v>3600</v>
      </c>
      <c r="J510" s="15">
        <v>36</v>
      </c>
      <c r="K510" s="163" t="s">
        <v>155</v>
      </c>
      <c r="L510" s="15">
        <v>3</v>
      </c>
      <c r="M510" s="188">
        <v>35.700000000000003</v>
      </c>
      <c r="N510" s="169" t="s">
        <v>11</v>
      </c>
    </row>
    <row r="511" spans="1:14" x14ac:dyDescent="0.25">
      <c r="A511" s="66" t="s">
        <v>8</v>
      </c>
      <c r="B511" s="69" t="s">
        <v>2215</v>
      </c>
      <c r="C511" s="51"/>
      <c r="D511" s="65"/>
      <c r="E511" s="86"/>
      <c r="F511" s="12"/>
      <c r="G511" s="157"/>
      <c r="H511" s="12"/>
      <c r="I511" s="62"/>
      <c r="J511" s="27"/>
      <c r="K511" s="62"/>
      <c r="L511" s="12"/>
      <c r="M511" s="191"/>
      <c r="N511" s="65"/>
    </row>
    <row r="512" spans="1:14" x14ac:dyDescent="0.25">
      <c r="A512" s="63" t="s">
        <v>8</v>
      </c>
      <c r="B512" s="71" t="s">
        <v>2507</v>
      </c>
      <c r="C512" s="2">
        <v>4099854149634</v>
      </c>
      <c r="D512" s="84"/>
      <c r="E512" s="101"/>
      <c r="F512"/>
      <c r="G512" s="156" t="str">
        <f>HYPERLINK("https://ledvance.com/pt/product-datasheet/291692/262396","Ficha Técnica")</f>
        <v>Ficha Técnica</v>
      </c>
      <c r="H512" s="58" t="s">
        <v>2232</v>
      </c>
      <c r="I512" s="164">
        <v>4150</v>
      </c>
      <c r="J512" s="206" t="s">
        <v>3972</v>
      </c>
      <c r="K512" s="164" t="s">
        <v>46</v>
      </c>
      <c r="L512" s="58">
        <v>5</v>
      </c>
      <c r="M512" s="188">
        <v>78.599999999999994</v>
      </c>
      <c r="N512" s="169" t="s">
        <v>11</v>
      </c>
    </row>
    <row r="513" spans="1:14" x14ac:dyDescent="0.25">
      <c r="A513" s="63" t="s">
        <v>8</v>
      </c>
      <c r="B513" s="71" t="s">
        <v>2508</v>
      </c>
      <c r="C513" s="2">
        <v>4099854149658</v>
      </c>
      <c r="D513" s="84"/>
      <c r="E513" s="101"/>
      <c r="F513"/>
      <c r="G513" s="156" t="str">
        <f>HYPERLINK("https://ledvance.com/pt/product-datasheet/291692/262399","Ficha Técnica")</f>
        <v>Ficha Técnica</v>
      </c>
      <c r="H513" s="58" t="s">
        <v>2232</v>
      </c>
      <c r="I513" s="164">
        <v>4000</v>
      </c>
      <c r="J513" s="206" t="s">
        <v>3972</v>
      </c>
      <c r="K513" s="164" t="s">
        <v>46</v>
      </c>
      <c r="L513" s="58">
        <v>5</v>
      </c>
      <c r="M513" s="188">
        <v>78.599999999999994</v>
      </c>
      <c r="N513" s="169" t="s">
        <v>11</v>
      </c>
    </row>
    <row r="514" spans="1:14" x14ac:dyDescent="0.25">
      <c r="A514" s="63" t="s">
        <v>8</v>
      </c>
      <c r="B514" s="71" t="s">
        <v>2509</v>
      </c>
      <c r="C514" s="2">
        <v>4099854149672</v>
      </c>
      <c r="D514" s="84"/>
      <c r="E514" s="101"/>
      <c r="F514"/>
      <c r="G514" s="156" t="str">
        <f>HYPERLINK("https://ledvance.com/pt/product-datasheet/291692/262402","Ficha Técnica")</f>
        <v>Ficha Técnica</v>
      </c>
      <c r="H514" s="58" t="s">
        <v>2232</v>
      </c>
      <c r="I514" s="164">
        <v>4150</v>
      </c>
      <c r="J514" s="206" t="s">
        <v>3972</v>
      </c>
      <c r="K514" s="164" t="s">
        <v>46</v>
      </c>
      <c r="L514" s="58">
        <v>5</v>
      </c>
      <c r="M514" s="188">
        <v>106.3</v>
      </c>
      <c r="N514" s="169" t="s">
        <v>11</v>
      </c>
    </row>
    <row r="515" spans="1:14" x14ac:dyDescent="0.25">
      <c r="A515" s="63" t="s">
        <v>8</v>
      </c>
      <c r="B515" s="71" t="s">
        <v>2510</v>
      </c>
      <c r="C515" s="2">
        <v>4099854149696</v>
      </c>
      <c r="D515" s="84"/>
      <c r="E515" s="101"/>
      <c r="F515"/>
      <c r="G515" s="156" t="str">
        <f>HYPERLINK("https://ledvance.com/pt/product-datasheet/291692/262405","Ficha Técnica")</f>
        <v>Ficha Técnica</v>
      </c>
      <c r="H515" s="58" t="s">
        <v>2232</v>
      </c>
      <c r="I515" s="164">
        <v>4000</v>
      </c>
      <c r="J515" s="206" t="s">
        <v>3972</v>
      </c>
      <c r="K515" s="164" t="s">
        <v>46</v>
      </c>
      <c r="L515" s="58">
        <v>5</v>
      </c>
      <c r="M515" s="188">
        <v>106.3</v>
      </c>
      <c r="N515" s="169" t="s">
        <v>11</v>
      </c>
    </row>
    <row r="516" spans="1:14" x14ac:dyDescent="0.25">
      <c r="A516" s="63" t="s">
        <v>8</v>
      </c>
      <c r="B516" s="71" t="s">
        <v>2511</v>
      </c>
      <c r="C516" s="2">
        <v>4099854149719</v>
      </c>
      <c r="D516" s="84"/>
      <c r="E516" s="101"/>
      <c r="F516"/>
      <c r="G516" s="156" t="str">
        <f>HYPERLINK("https://ledvance.com/pt/product-datasheet/291692/262408","Ficha Técnica")</f>
        <v>Ficha Técnica</v>
      </c>
      <c r="H516" s="58" t="s">
        <v>2232</v>
      </c>
      <c r="I516" s="164">
        <v>4150</v>
      </c>
      <c r="J516" s="206" t="s">
        <v>3972</v>
      </c>
      <c r="K516" s="164" t="s">
        <v>46</v>
      </c>
      <c r="L516" s="58">
        <v>5</v>
      </c>
      <c r="M516" s="188">
        <v>84.7</v>
      </c>
      <c r="N516" s="169" t="s">
        <v>11</v>
      </c>
    </row>
    <row r="517" spans="1:14" x14ac:dyDescent="0.25">
      <c r="A517" s="63" t="s">
        <v>8</v>
      </c>
      <c r="B517" s="71" t="s">
        <v>2512</v>
      </c>
      <c r="C517" s="2">
        <v>4099854149733</v>
      </c>
      <c r="D517" s="84"/>
      <c r="E517" s="101"/>
      <c r="F517"/>
      <c r="G517" s="156" t="str">
        <f>HYPERLINK("https://ledvance.com/pt/product-datasheet/291692/262411","Ficha Técnica")</f>
        <v>Ficha Técnica</v>
      </c>
      <c r="H517" s="58" t="s">
        <v>2232</v>
      </c>
      <c r="I517" s="164">
        <v>4000</v>
      </c>
      <c r="J517" s="206" t="s">
        <v>3972</v>
      </c>
      <c r="K517" s="164" t="s">
        <v>46</v>
      </c>
      <c r="L517" s="58">
        <v>5</v>
      </c>
      <c r="M517" s="188">
        <v>84.7</v>
      </c>
      <c r="N517" s="169" t="s">
        <v>11</v>
      </c>
    </row>
    <row r="518" spans="1:14" x14ac:dyDescent="0.25">
      <c r="A518" s="63" t="s">
        <v>8</v>
      </c>
      <c r="B518" s="71" t="s">
        <v>2513</v>
      </c>
      <c r="C518" s="2">
        <v>4099854149757</v>
      </c>
      <c r="D518" s="84"/>
      <c r="E518" s="101"/>
      <c r="F518"/>
      <c r="G518" s="156" t="str">
        <f>HYPERLINK("https://ledvance.com/pt/product-datasheet/291692/262414","Ficha Técnica")</f>
        <v>Ficha Técnica</v>
      </c>
      <c r="H518" s="58" t="s">
        <v>2232</v>
      </c>
      <c r="I518" s="164">
        <v>4150</v>
      </c>
      <c r="J518" s="206" t="s">
        <v>3972</v>
      </c>
      <c r="K518" s="164" t="s">
        <v>46</v>
      </c>
      <c r="L518" s="58">
        <v>5</v>
      </c>
      <c r="M518" s="188">
        <v>112.4</v>
      </c>
      <c r="N518" s="169" t="s">
        <v>11</v>
      </c>
    </row>
    <row r="519" spans="1:14" x14ac:dyDescent="0.25">
      <c r="A519" s="63" t="s">
        <v>8</v>
      </c>
      <c r="B519" s="71" t="s">
        <v>2216</v>
      </c>
      <c r="C519" s="2">
        <v>4099854149771</v>
      </c>
      <c r="D519" s="84"/>
      <c r="E519" s="101"/>
      <c r="F519"/>
      <c r="G519" s="156" t="str">
        <f>HYPERLINK("https://ledvance.com/pt/product-datasheet/291692/262417","Ficha Técnica")</f>
        <v>Ficha Técnica</v>
      </c>
      <c r="H519" s="58" t="s">
        <v>2232</v>
      </c>
      <c r="I519" s="164">
        <v>4000</v>
      </c>
      <c r="J519" s="206" t="s">
        <v>3972</v>
      </c>
      <c r="K519" s="164" t="s">
        <v>46</v>
      </c>
      <c r="L519" s="58">
        <v>5</v>
      </c>
      <c r="M519" s="188">
        <v>112.4</v>
      </c>
      <c r="N519" s="169" t="s">
        <v>11</v>
      </c>
    </row>
    <row r="520" spans="1:14" x14ac:dyDescent="0.25">
      <c r="A520" s="66" t="s">
        <v>40</v>
      </c>
      <c r="B520" s="69" t="s">
        <v>2109</v>
      </c>
      <c r="C520" s="51"/>
      <c r="D520" s="65"/>
      <c r="E520" s="86"/>
      <c r="F520" s="12"/>
      <c r="G520" s="157"/>
      <c r="H520" s="12"/>
      <c r="I520" s="62"/>
      <c r="J520" s="27"/>
      <c r="K520" s="62"/>
      <c r="L520" s="12"/>
      <c r="M520" s="191"/>
      <c r="N520" s="65"/>
    </row>
    <row r="521" spans="1:14" x14ac:dyDescent="0.25">
      <c r="A521" s="63" t="s">
        <v>40</v>
      </c>
      <c r="B521" s="71" t="s">
        <v>174</v>
      </c>
      <c r="C521" s="2">
        <v>4058075826397</v>
      </c>
      <c r="D521" s="84"/>
      <c r="E521" s="101"/>
      <c r="F521" s="6"/>
      <c r="G521" s="156" t="str">
        <f>HYPERLINK("https://ledvance.com/pt/product-datasheet/8625/255564","Ficha Técnica")</f>
        <v>Ficha Técnica</v>
      </c>
      <c r="H521" s="15">
        <v>5</v>
      </c>
      <c r="I521" s="163"/>
      <c r="J521" s="15"/>
      <c r="K521" s="163"/>
      <c r="L521" s="15">
        <v>5</v>
      </c>
      <c r="M521" s="188">
        <v>57.8</v>
      </c>
      <c r="N521" s="169" t="s">
        <v>11</v>
      </c>
    </row>
    <row r="522" spans="1:14" x14ac:dyDescent="0.25">
      <c r="A522" s="63" t="s">
        <v>40</v>
      </c>
      <c r="B522" s="71" t="s">
        <v>175</v>
      </c>
      <c r="C522" s="2">
        <v>4058075472914</v>
      </c>
      <c r="D522" s="84"/>
      <c r="E522" s="101"/>
      <c r="F522" s="16"/>
      <c r="G522" s="156" t="str">
        <f>HYPERLINK("https://ledvance.com/pt/product-datasheet/8625/136752","Ficha Técnica")</f>
        <v>Ficha Técnica</v>
      </c>
      <c r="H522" s="15">
        <v>4</v>
      </c>
      <c r="I522" s="163"/>
      <c r="J522" s="15"/>
      <c r="K522" s="163"/>
      <c r="L522" s="15">
        <v>2</v>
      </c>
      <c r="M522" s="188">
        <v>52.1</v>
      </c>
      <c r="N522" s="169" t="s">
        <v>11</v>
      </c>
    </row>
    <row r="523" spans="1:14" x14ac:dyDescent="0.25">
      <c r="A523" s="63" t="s">
        <v>40</v>
      </c>
      <c r="B523" s="71" t="s">
        <v>176</v>
      </c>
      <c r="C523" s="2">
        <v>4058075834330</v>
      </c>
      <c r="D523" s="84"/>
      <c r="E523" s="101"/>
      <c r="F523" s="6"/>
      <c r="G523" s="156" t="str">
        <f>HYPERLINK("https://ledvance.com/pt/product-datasheet/8625/271619","Ficha Técnica")</f>
        <v>Ficha Técnica</v>
      </c>
      <c r="H523" s="15">
        <v>4</v>
      </c>
      <c r="I523" s="163"/>
      <c r="J523" s="15"/>
      <c r="K523" s="163"/>
      <c r="L523" s="15">
        <v>5</v>
      </c>
      <c r="M523" s="188">
        <v>62.4</v>
      </c>
      <c r="N523" s="169" t="s">
        <v>11</v>
      </c>
    </row>
    <row r="524" spans="1:14" x14ac:dyDescent="0.25">
      <c r="A524" s="63" t="s">
        <v>40</v>
      </c>
      <c r="B524" s="71" t="s">
        <v>177</v>
      </c>
      <c r="C524" s="2">
        <v>4058075108820</v>
      </c>
      <c r="D524" s="84"/>
      <c r="E524" s="101"/>
      <c r="F524" s="16"/>
      <c r="G524" s="156" t="str">
        <f>HYPERLINK("https://ledvance.com/pt/product-datasheet/8625/137703","Ficha Técnica")</f>
        <v>Ficha Técnica</v>
      </c>
      <c r="H524" s="15">
        <v>4</v>
      </c>
      <c r="I524" s="163"/>
      <c r="J524" s="15"/>
      <c r="K524" s="163"/>
      <c r="L524" s="15">
        <v>2</v>
      </c>
      <c r="M524" s="188">
        <v>52.6</v>
      </c>
      <c r="N524" s="169" t="s">
        <v>11</v>
      </c>
    </row>
    <row r="525" spans="1:14" x14ac:dyDescent="0.25">
      <c r="A525" s="63" t="s">
        <v>40</v>
      </c>
      <c r="B525" s="71" t="s">
        <v>178</v>
      </c>
      <c r="C525" s="2">
        <v>4058075834378</v>
      </c>
      <c r="D525" s="84"/>
      <c r="E525" s="101"/>
      <c r="F525" s="6"/>
      <c r="G525" s="156" t="str">
        <f>HYPERLINK("https://ledvance.com/pt/product-datasheet/8625/271625","Ficha Técnica")</f>
        <v>Ficha Técnica</v>
      </c>
      <c r="H525" s="15">
        <v>4</v>
      </c>
      <c r="I525" s="163"/>
      <c r="J525" s="15"/>
      <c r="K525" s="163"/>
      <c r="L525" s="15">
        <v>5</v>
      </c>
      <c r="M525" s="188">
        <v>69.5</v>
      </c>
      <c r="N525" s="169" t="s">
        <v>11</v>
      </c>
    </row>
    <row r="526" spans="1:14" x14ac:dyDescent="0.25">
      <c r="A526" s="63" t="s">
        <v>40</v>
      </c>
      <c r="B526" s="71" t="s">
        <v>179</v>
      </c>
      <c r="C526" s="2">
        <v>4058075402843</v>
      </c>
      <c r="D526" s="84"/>
      <c r="E526" s="101"/>
      <c r="F526" s="16"/>
      <c r="G526" s="156" t="str">
        <f>HYPERLINK("https://ledvance.com/pt/product-datasheet/8626/138217","Ficha Técnica")</f>
        <v>Ficha Técnica</v>
      </c>
      <c r="H526" s="15">
        <v>4</v>
      </c>
      <c r="I526" s="163"/>
      <c r="J526" s="15"/>
      <c r="K526" s="163"/>
      <c r="L526" s="15">
        <v>2</v>
      </c>
      <c r="M526" s="188">
        <v>35.9</v>
      </c>
      <c r="N526" s="169" t="s">
        <v>11</v>
      </c>
    </row>
    <row r="527" spans="1:14" x14ac:dyDescent="0.25">
      <c r="A527" s="63" t="s">
        <v>40</v>
      </c>
      <c r="B527" s="71" t="s">
        <v>180</v>
      </c>
      <c r="C527" s="2">
        <v>4099854018497</v>
      </c>
      <c r="D527" s="84"/>
      <c r="E527" s="101"/>
      <c r="F527" s="16"/>
      <c r="G527" s="156" t="str">
        <f>HYPERLINK("https://ledvance.com/pt/product-datasheet/8626/234414","Ficha Técnica")</f>
        <v>Ficha Técnica</v>
      </c>
      <c r="H527" s="15">
        <v>4</v>
      </c>
      <c r="I527" s="163"/>
      <c r="J527" s="15"/>
      <c r="K527" s="163"/>
      <c r="L527" s="15">
        <v>5</v>
      </c>
      <c r="M527" s="188">
        <v>51.8</v>
      </c>
      <c r="N527" s="169" t="s">
        <v>11</v>
      </c>
    </row>
    <row r="528" spans="1:14" x14ac:dyDescent="0.25">
      <c r="A528" s="63" t="s">
        <v>40</v>
      </c>
      <c r="B528" s="71" t="s">
        <v>181</v>
      </c>
      <c r="C528" s="2">
        <v>4058075389823</v>
      </c>
      <c r="D528" s="84"/>
      <c r="E528" s="101"/>
      <c r="F528" s="16"/>
      <c r="G528" s="156" t="str">
        <f>HYPERLINK("https://ledvance.com/pt/product-datasheet/8626/139155","Ficha Técnica")</f>
        <v>Ficha Técnica</v>
      </c>
      <c r="H528" s="15">
        <v>3</v>
      </c>
      <c r="I528" s="163"/>
      <c r="J528" s="15"/>
      <c r="K528" s="163"/>
      <c r="L528" s="15">
        <v>2</v>
      </c>
      <c r="M528" s="188">
        <v>51.6</v>
      </c>
      <c r="N528" s="169" t="s">
        <v>11</v>
      </c>
    </row>
    <row r="529" spans="1:14" x14ac:dyDescent="0.25">
      <c r="A529" s="63" t="s">
        <v>40</v>
      </c>
      <c r="B529" s="71" t="s">
        <v>1351</v>
      </c>
      <c r="C529" s="2">
        <v>4058075402928</v>
      </c>
      <c r="D529" s="84"/>
      <c r="E529" s="101"/>
      <c r="F529" s="16"/>
      <c r="G529" s="156" t="str">
        <f>HYPERLINK("https://ledvance.com/pt/product-datasheet/8627/138302","Ficha Técnica")</f>
        <v>Ficha Técnica</v>
      </c>
      <c r="H529" s="15">
        <v>4</v>
      </c>
      <c r="I529" s="163"/>
      <c r="J529" s="15"/>
      <c r="K529" s="163"/>
      <c r="L529" s="15">
        <v>2</v>
      </c>
      <c r="M529" s="188">
        <v>9.1</v>
      </c>
      <c r="N529" s="169" t="s">
        <v>11</v>
      </c>
    </row>
    <row r="530" spans="1:14" x14ac:dyDescent="0.25">
      <c r="A530" s="63" t="s">
        <v>40</v>
      </c>
      <c r="B530" s="71" t="s">
        <v>182</v>
      </c>
      <c r="C530" s="2">
        <v>4058075472990</v>
      </c>
      <c r="D530" s="84"/>
      <c r="E530" s="101"/>
      <c r="F530" s="16"/>
      <c r="G530" s="156" t="str">
        <f>HYPERLINK("https://ledvance.com/pt/product-datasheet/8633/136740","Ficha Técnica")</f>
        <v>Ficha Técnica</v>
      </c>
      <c r="H530" s="15">
        <v>40</v>
      </c>
      <c r="I530" s="163"/>
      <c r="J530" s="15"/>
      <c r="K530" s="163"/>
      <c r="L530" s="15">
        <v>2</v>
      </c>
      <c r="M530" s="188">
        <v>9.3000000000000007</v>
      </c>
      <c r="N530" s="169" t="s">
        <v>11</v>
      </c>
    </row>
    <row r="531" spans="1:14" x14ac:dyDescent="0.25">
      <c r="A531" s="63" t="s">
        <v>40</v>
      </c>
      <c r="B531" s="71" t="s">
        <v>183</v>
      </c>
      <c r="C531" s="2">
        <v>4058075402881</v>
      </c>
      <c r="D531" s="84"/>
      <c r="E531" s="101"/>
      <c r="F531" s="16"/>
      <c r="G531" s="156" t="str">
        <f>HYPERLINK("https://ledvance.com/pt/product-datasheet/8628/138284","Ficha Técnica")</f>
        <v>Ficha Técnica</v>
      </c>
      <c r="H531" s="15">
        <v>2</v>
      </c>
      <c r="I531" s="163"/>
      <c r="J531" s="15"/>
      <c r="K531" s="163"/>
      <c r="L531" s="15">
        <v>2</v>
      </c>
      <c r="M531" s="188">
        <v>51.6</v>
      </c>
      <c r="N531" s="169" t="s">
        <v>11</v>
      </c>
    </row>
    <row r="532" spans="1:14" x14ac:dyDescent="0.25">
      <c r="A532" s="63" t="s">
        <v>40</v>
      </c>
      <c r="B532" s="71" t="s">
        <v>184</v>
      </c>
      <c r="C532" s="2">
        <v>4058075472976</v>
      </c>
      <c r="D532" s="84"/>
      <c r="E532" s="101"/>
      <c r="F532" s="16"/>
      <c r="G532" s="156" t="str">
        <f>HYPERLINK("https://ledvance.com/pt/product-datasheet/8628/136743","Ficha Técnica")</f>
        <v>Ficha Técnica</v>
      </c>
      <c r="H532" s="15">
        <v>4</v>
      </c>
      <c r="I532" s="163"/>
      <c r="J532" s="15"/>
      <c r="K532" s="163"/>
      <c r="L532" s="15">
        <v>2</v>
      </c>
      <c r="M532" s="188">
        <v>67</v>
      </c>
      <c r="N532" s="169" t="s">
        <v>11</v>
      </c>
    </row>
    <row r="533" spans="1:14" x14ac:dyDescent="0.25">
      <c r="A533" s="63" t="s">
        <v>40</v>
      </c>
      <c r="B533" s="71" t="s">
        <v>185</v>
      </c>
      <c r="C533" s="2">
        <v>4058075409859</v>
      </c>
      <c r="D533" s="84"/>
      <c r="E533" s="101"/>
      <c r="F533" s="16"/>
      <c r="G533" s="156" t="str">
        <f>HYPERLINK("https://ledvance.com/pt/product-datasheet/8629/138311","Ficha Técnica")</f>
        <v>Ficha Técnica</v>
      </c>
      <c r="H533" s="15">
        <v>16</v>
      </c>
      <c r="I533" s="163"/>
      <c r="J533" s="15"/>
      <c r="K533" s="163"/>
      <c r="L533" s="15">
        <v>2</v>
      </c>
      <c r="M533" s="188">
        <v>4.2</v>
      </c>
      <c r="N533" s="169" t="s">
        <v>11</v>
      </c>
    </row>
    <row r="534" spans="1:14" x14ac:dyDescent="0.25">
      <c r="A534" s="63" t="s">
        <v>40</v>
      </c>
      <c r="B534" s="71" t="s">
        <v>2217</v>
      </c>
      <c r="C534" s="2">
        <v>4099854155307</v>
      </c>
      <c r="D534" s="84"/>
      <c r="E534" s="101"/>
      <c r="F534"/>
      <c r="G534" s="156" t="str">
        <f>HYPERLINK("https://ledvance.com/pt/product-datasheet/291694/264260","Ficha Técnica")</f>
        <v>Ficha Técnica</v>
      </c>
      <c r="H534" s="58" t="s">
        <v>2102</v>
      </c>
      <c r="I534" s="158"/>
      <c r="J534" s="46"/>
      <c r="K534" s="158"/>
      <c r="L534" s="58">
        <v>5</v>
      </c>
      <c r="M534" s="188">
        <v>16.7</v>
      </c>
      <c r="N534" s="169" t="s">
        <v>11</v>
      </c>
    </row>
    <row r="535" spans="1:14" x14ac:dyDescent="0.25">
      <c r="A535" s="63" t="s">
        <v>40</v>
      </c>
      <c r="B535" s="71" t="s">
        <v>2218</v>
      </c>
      <c r="C535" s="2">
        <v>4099854155352</v>
      </c>
      <c r="D535" s="84"/>
      <c r="E535" s="101"/>
      <c r="F535"/>
      <c r="G535" s="156" t="str">
        <f>HYPERLINK("https://ledvance.com/pt/product-datasheet/291694/264263","Ficha Técnica")</f>
        <v>Ficha Técnica</v>
      </c>
      <c r="H535" s="58" t="s">
        <v>2102</v>
      </c>
      <c r="I535" s="158"/>
      <c r="J535" s="46"/>
      <c r="K535" s="158"/>
      <c r="L535" s="58">
        <v>5</v>
      </c>
      <c r="M535" s="188">
        <v>16.7</v>
      </c>
      <c r="N535" s="169" t="s">
        <v>11</v>
      </c>
    </row>
    <row r="536" spans="1:14" x14ac:dyDescent="0.25">
      <c r="A536" s="63" t="s">
        <v>40</v>
      </c>
      <c r="B536" s="71" t="s">
        <v>2219</v>
      </c>
      <c r="C536" s="2">
        <v>4099854155376</v>
      </c>
      <c r="D536" s="84"/>
      <c r="E536" s="101"/>
      <c r="F536"/>
      <c r="G536" s="156" t="str">
        <f>HYPERLINK("https://ledvance.com/pt/product-datasheet/291693/264266","Ficha Técnica")</f>
        <v>Ficha Técnica</v>
      </c>
      <c r="H536" s="58" t="s">
        <v>2104</v>
      </c>
      <c r="I536" s="158"/>
      <c r="J536" s="46"/>
      <c r="K536" s="158"/>
      <c r="L536" s="58">
        <v>5</v>
      </c>
      <c r="M536" s="188">
        <v>15.4</v>
      </c>
      <c r="N536" s="169" t="s">
        <v>11</v>
      </c>
    </row>
    <row r="537" spans="1:14" x14ac:dyDescent="0.25">
      <c r="A537" s="63" t="s">
        <v>40</v>
      </c>
      <c r="B537" s="71" t="s">
        <v>2220</v>
      </c>
      <c r="C537" s="2">
        <v>4099854155406</v>
      </c>
      <c r="D537" s="84"/>
      <c r="E537" s="101"/>
      <c r="F537"/>
      <c r="G537" s="156" t="str">
        <f>HYPERLINK("https://ledvance.com/pt/product-datasheet/291693/264269","Ficha Técnica")</f>
        <v>Ficha Técnica</v>
      </c>
      <c r="H537" s="58" t="s">
        <v>2104</v>
      </c>
      <c r="I537" s="158"/>
      <c r="J537" s="46"/>
      <c r="K537" s="158"/>
      <c r="L537" s="58">
        <v>5</v>
      </c>
      <c r="M537" s="188">
        <v>15.4</v>
      </c>
      <c r="N537" s="169" t="s">
        <v>11</v>
      </c>
    </row>
    <row r="538" spans="1:14" x14ac:dyDescent="0.25">
      <c r="A538" s="63" t="s">
        <v>40</v>
      </c>
      <c r="B538" s="71" t="s">
        <v>2221</v>
      </c>
      <c r="C538" s="2">
        <v>4099854155420</v>
      </c>
      <c r="D538" s="84"/>
      <c r="E538" s="101"/>
      <c r="F538"/>
      <c r="G538" s="156" t="str">
        <f>HYPERLINK("https://ledvance.com/pt/product-datasheet/291693/264282","Ficha Técnica")</f>
        <v>Ficha Técnica</v>
      </c>
      <c r="H538" s="58" t="s">
        <v>2104</v>
      </c>
      <c r="I538" s="158"/>
      <c r="J538" s="46"/>
      <c r="K538" s="158"/>
      <c r="L538" s="58">
        <v>5</v>
      </c>
      <c r="M538" s="188">
        <v>23.1</v>
      </c>
      <c r="N538" s="169" t="s">
        <v>11</v>
      </c>
    </row>
    <row r="539" spans="1:14" x14ac:dyDescent="0.25">
      <c r="A539" s="63" t="s">
        <v>40</v>
      </c>
      <c r="B539" s="71" t="s">
        <v>2222</v>
      </c>
      <c r="C539" s="2">
        <v>4099854155444</v>
      </c>
      <c r="D539" s="84"/>
      <c r="E539" s="101"/>
      <c r="F539"/>
      <c r="G539" s="156" t="str">
        <f>HYPERLINK("https://ledvance.com/pt/product-datasheet/291693/264285","Ficha Técnica")</f>
        <v>Ficha Técnica</v>
      </c>
      <c r="H539" s="58" t="s">
        <v>2104</v>
      </c>
      <c r="I539" s="158"/>
      <c r="J539" s="46"/>
      <c r="K539" s="158"/>
      <c r="L539" s="58">
        <v>5</v>
      </c>
      <c r="M539" s="188">
        <v>23.1</v>
      </c>
      <c r="N539" s="169" t="s">
        <v>11</v>
      </c>
    </row>
    <row r="540" spans="1:14" x14ac:dyDescent="0.25">
      <c r="A540" s="63" t="s">
        <v>40</v>
      </c>
      <c r="B540" s="71" t="s">
        <v>186</v>
      </c>
      <c r="C540" s="2">
        <v>4058075473010</v>
      </c>
      <c r="D540" s="84"/>
      <c r="E540" s="101"/>
      <c r="F540" s="16"/>
      <c r="G540" s="156" t="str">
        <f>HYPERLINK("https://ledvance.com/pt/product-datasheet/8634/136737","Ficha Técnica")</f>
        <v>Ficha Técnica</v>
      </c>
      <c r="H540" s="15">
        <v>40</v>
      </c>
      <c r="I540" s="163"/>
      <c r="J540" s="15"/>
      <c r="K540" s="163"/>
      <c r="L540" s="15">
        <v>2</v>
      </c>
      <c r="M540" s="188">
        <v>39</v>
      </c>
      <c r="N540" s="169" t="s">
        <v>11</v>
      </c>
    </row>
    <row r="541" spans="1:14" x14ac:dyDescent="0.25">
      <c r="A541" s="63" t="s">
        <v>40</v>
      </c>
      <c r="B541" s="71" t="s">
        <v>187</v>
      </c>
      <c r="C541" s="2">
        <v>4058075473034</v>
      </c>
      <c r="D541" s="84"/>
      <c r="E541" s="101"/>
      <c r="F541" s="16"/>
      <c r="G541" s="156" t="str">
        <f>HYPERLINK("https://ledvance.com/pt/product-datasheet/8634/126739","Ficha Técnica")</f>
        <v>Ficha Técnica</v>
      </c>
      <c r="H541" s="15">
        <v>40</v>
      </c>
      <c r="I541" s="163"/>
      <c r="J541" s="15"/>
      <c r="K541" s="163"/>
      <c r="L541" s="15">
        <v>2</v>
      </c>
      <c r="M541" s="188">
        <v>32.5</v>
      </c>
      <c r="N541" s="169" t="s">
        <v>11</v>
      </c>
    </row>
    <row r="542" spans="1:14" x14ac:dyDescent="0.25">
      <c r="A542" s="63" t="s">
        <v>40</v>
      </c>
      <c r="B542" s="71" t="s">
        <v>188</v>
      </c>
      <c r="C542" s="2">
        <v>4099854018510</v>
      </c>
      <c r="D542" s="84"/>
      <c r="E542" s="101"/>
      <c r="F542" s="16"/>
      <c r="G542" s="156" t="str">
        <f>HYPERLINK("https://ledvance.com/pt/product-datasheet/239256/229135","Ficha Técnica")</f>
        <v>Ficha Técnica</v>
      </c>
      <c r="H542" s="15">
        <v>4</v>
      </c>
      <c r="I542" s="163"/>
      <c r="J542" s="15"/>
      <c r="K542" s="163"/>
      <c r="L542" s="15">
        <v>3</v>
      </c>
      <c r="M542" s="188">
        <v>12</v>
      </c>
      <c r="N542" s="169" t="s">
        <v>11</v>
      </c>
    </row>
    <row r="543" spans="1:14" x14ac:dyDescent="0.25">
      <c r="A543" s="66" t="s">
        <v>8</v>
      </c>
      <c r="B543" s="69" t="s">
        <v>2159</v>
      </c>
      <c r="C543" s="51"/>
      <c r="D543" s="65"/>
      <c r="E543" s="86"/>
      <c r="F543" s="12"/>
      <c r="G543" s="157"/>
      <c r="H543" s="12"/>
      <c r="I543" s="62"/>
      <c r="J543" s="27"/>
      <c r="K543" s="62"/>
      <c r="L543" s="12"/>
      <c r="M543" s="191"/>
      <c r="N543" s="65"/>
    </row>
    <row r="544" spans="1:14" x14ac:dyDescent="0.25">
      <c r="A544" s="63" t="s">
        <v>8</v>
      </c>
      <c r="B544" s="71" t="s">
        <v>2514</v>
      </c>
      <c r="C544" s="2">
        <v>4058075144606</v>
      </c>
      <c r="D544" s="84"/>
      <c r="E544" s="85"/>
      <c r="F544" s="16"/>
      <c r="G544" s="156" t="str">
        <f>HYPERLINK("https://ledvance.com/pt/product-datasheet/8701/125778","Ficha Técnica")</f>
        <v>Ficha Técnica</v>
      </c>
      <c r="H544" s="15">
        <v>2</v>
      </c>
      <c r="I544" s="163">
        <v>3800</v>
      </c>
      <c r="J544" s="15">
        <v>36</v>
      </c>
      <c r="K544" s="163" t="s">
        <v>46</v>
      </c>
      <c r="L544" s="15">
        <v>5</v>
      </c>
      <c r="M544" s="188">
        <v>366.8</v>
      </c>
      <c r="N544" s="169" t="s">
        <v>11</v>
      </c>
    </row>
    <row r="545" spans="1:14" x14ac:dyDescent="0.25">
      <c r="A545" s="63" t="s">
        <v>8</v>
      </c>
      <c r="B545" s="71" t="s">
        <v>2515</v>
      </c>
      <c r="C545" s="2">
        <v>4058075144620</v>
      </c>
      <c r="D545" s="84"/>
      <c r="E545" s="85"/>
      <c r="F545" s="16"/>
      <c r="G545" s="156" t="str">
        <f>HYPERLINK("https://ledvance.com/pt/product-datasheet/8701/45731","Ficha Técnica")</f>
        <v>Ficha Técnica</v>
      </c>
      <c r="H545" s="15">
        <v>2</v>
      </c>
      <c r="I545" s="163">
        <v>4000</v>
      </c>
      <c r="J545" s="15">
        <v>36</v>
      </c>
      <c r="K545" s="163" t="s">
        <v>46</v>
      </c>
      <c r="L545" s="15">
        <v>5</v>
      </c>
      <c r="M545" s="188">
        <v>366.8</v>
      </c>
      <c r="N545" s="169" t="s">
        <v>11</v>
      </c>
    </row>
    <row r="546" spans="1:14" x14ac:dyDescent="0.25">
      <c r="A546" s="63" t="s">
        <v>8</v>
      </c>
      <c r="B546" s="71" t="s">
        <v>189</v>
      </c>
      <c r="C546" s="2">
        <v>4058075504028</v>
      </c>
      <c r="D546" s="84"/>
      <c r="E546" s="85"/>
      <c r="F546" s="16"/>
      <c r="G546" s="156" t="str">
        <f>HYPERLINK("https://ledvance.com/pt/product-datasheet/8702/98622","Ficha Técnica")</f>
        <v>Ficha Técnica</v>
      </c>
      <c r="H546" s="15">
        <v>2</v>
      </c>
      <c r="I546" s="163">
        <v>3800</v>
      </c>
      <c r="J546" s="15">
        <v>36</v>
      </c>
      <c r="K546" s="163" t="s">
        <v>46</v>
      </c>
      <c r="L546" s="15">
        <v>5</v>
      </c>
      <c r="M546" s="188">
        <v>451.4</v>
      </c>
      <c r="N546" s="169" t="s">
        <v>11</v>
      </c>
    </row>
    <row r="547" spans="1:14" x14ac:dyDescent="0.25">
      <c r="A547" s="63" t="s">
        <v>8</v>
      </c>
      <c r="B547" s="71" t="s">
        <v>190</v>
      </c>
      <c r="C547" s="2">
        <v>4058075504042</v>
      </c>
      <c r="D547" s="84"/>
      <c r="E547" s="85"/>
      <c r="F547" s="16"/>
      <c r="G547" s="156" t="str">
        <f>HYPERLINK("https://ledvance.com/pt/product-datasheet/8702/98609","Ficha Técnica")</f>
        <v>Ficha Técnica</v>
      </c>
      <c r="H547" s="15">
        <v>2</v>
      </c>
      <c r="I547" s="163">
        <v>4000</v>
      </c>
      <c r="J547" s="15">
        <v>36</v>
      </c>
      <c r="K547" s="163" t="s">
        <v>46</v>
      </c>
      <c r="L547" s="15">
        <v>5</v>
      </c>
      <c r="M547" s="188">
        <v>451.4</v>
      </c>
      <c r="N547" s="169" t="s">
        <v>11</v>
      </c>
    </row>
    <row r="548" spans="1:14" x14ac:dyDescent="0.25">
      <c r="A548" s="63" t="s">
        <v>8</v>
      </c>
      <c r="B548" s="71" t="s">
        <v>191</v>
      </c>
      <c r="C548" s="2">
        <v>4058075521889</v>
      </c>
      <c r="D548" s="84"/>
      <c r="E548" s="85"/>
      <c r="F548" s="17"/>
      <c r="G548" s="156" t="str">
        <f>HYPERLINK("https://ledvance.com/pt/product-datasheet/141852/36178","Ficha Técnica")</f>
        <v>Ficha Técnica</v>
      </c>
      <c r="H548" s="15">
        <v>2</v>
      </c>
      <c r="I548" s="163">
        <v>4000</v>
      </c>
      <c r="J548" s="15">
        <v>36</v>
      </c>
      <c r="K548" s="163" t="s">
        <v>46</v>
      </c>
      <c r="L548" s="15">
        <v>5</v>
      </c>
      <c r="M548" s="188">
        <v>519.29999999999995</v>
      </c>
      <c r="N548" s="169" t="s">
        <v>11</v>
      </c>
    </row>
    <row r="549" spans="1:14" x14ac:dyDescent="0.25">
      <c r="A549" s="66" t="s">
        <v>8</v>
      </c>
      <c r="B549" s="75" t="s">
        <v>2143</v>
      </c>
      <c r="C549" s="51"/>
      <c r="D549" s="65"/>
      <c r="E549" s="86"/>
      <c r="F549" s="12"/>
      <c r="G549" s="157"/>
      <c r="H549" s="12"/>
      <c r="I549" s="62"/>
      <c r="J549" s="27"/>
      <c r="K549" s="62"/>
      <c r="L549" s="12"/>
      <c r="M549" s="191"/>
      <c r="N549" s="65"/>
    </row>
    <row r="550" spans="1:14" ht="15.75" x14ac:dyDescent="0.25">
      <c r="A550" s="66" t="s">
        <v>8</v>
      </c>
      <c r="B550" s="69" t="s">
        <v>2141</v>
      </c>
      <c r="C550" s="51"/>
      <c r="D550" s="65"/>
      <c r="E550" s="86"/>
      <c r="F550" s="12"/>
      <c r="G550" s="157"/>
      <c r="H550" s="12"/>
      <c r="I550" s="62"/>
      <c r="J550" s="27"/>
      <c r="K550" s="62"/>
      <c r="L550" s="12"/>
      <c r="M550" s="191"/>
      <c r="N550" s="65"/>
    </row>
    <row r="551" spans="1:14" x14ac:dyDescent="0.25">
      <c r="A551" s="63" t="s">
        <v>8</v>
      </c>
      <c r="B551" s="71" t="s">
        <v>2516</v>
      </c>
      <c r="C551" s="2">
        <v>4099854135316</v>
      </c>
      <c r="D551" s="95">
        <v>4058075109605</v>
      </c>
      <c r="E551" s="96" t="s">
        <v>192</v>
      </c>
      <c r="F551" s="16"/>
      <c r="G551" s="156" t="str">
        <f>HYPERLINK("https://ledvance.com/pt/product-datasheet/281912/259014","Ficha Técnica")</f>
        <v>Ficha Técnica</v>
      </c>
      <c r="H551" s="15">
        <v>2</v>
      </c>
      <c r="I551" s="163" t="s">
        <v>1711</v>
      </c>
      <c r="J551" s="15" t="s">
        <v>1712</v>
      </c>
      <c r="K551" s="163" t="s">
        <v>46</v>
      </c>
      <c r="L551" s="15">
        <v>5</v>
      </c>
      <c r="M551" s="188">
        <v>288</v>
      </c>
      <c r="N551" s="169" t="s">
        <v>11</v>
      </c>
    </row>
    <row r="552" spans="1:14" x14ac:dyDescent="0.25">
      <c r="A552" s="63" t="s">
        <v>8</v>
      </c>
      <c r="B552" s="74" t="s">
        <v>2517</v>
      </c>
      <c r="C552" s="2">
        <v>4099854135330</v>
      </c>
      <c r="D552" s="95" t="s">
        <v>1992</v>
      </c>
      <c r="E552" s="102" t="s">
        <v>1993</v>
      </c>
      <c r="F552" s="16"/>
      <c r="G552" s="156" t="str">
        <f>HYPERLINK("https://ledvance.com/pt/product-datasheet/281912/259017","Ficha Técnica")</f>
        <v>Ficha Técnica</v>
      </c>
      <c r="H552" s="15">
        <v>2</v>
      </c>
      <c r="I552" s="163" t="s">
        <v>1713</v>
      </c>
      <c r="J552" s="15" t="s">
        <v>1712</v>
      </c>
      <c r="K552" s="163" t="s">
        <v>46</v>
      </c>
      <c r="L552" s="15">
        <v>5</v>
      </c>
      <c r="M552" s="188">
        <v>288</v>
      </c>
      <c r="N552" s="169" t="s">
        <v>11</v>
      </c>
    </row>
    <row r="553" spans="1:14" x14ac:dyDescent="0.25">
      <c r="A553" s="63" t="s">
        <v>8</v>
      </c>
      <c r="B553" s="71" t="s">
        <v>2518</v>
      </c>
      <c r="C553" s="2">
        <v>4099854296703</v>
      </c>
      <c r="D553" s="103"/>
      <c r="E553" s="104"/>
      <c r="G553" s="156" t="str">
        <f>HYPERLINK("https://ledvance.com/pt/product-datasheet/281912/303898","Ficha Técnica")</f>
        <v>Ficha Técnica</v>
      </c>
      <c r="H553" s="15">
        <v>2</v>
      </c>
      <c r="I553" s="163" t="s">
        <v>1714</v>
      </c>
      <c r="J553" s="15" t="s">
        <v>1712</v>
      </c>
      <c r="K553" s="163" t="s">
        <v>46</v>
      </c>
      <c r="L553" s="15">
        <v>5</v>
      </c>
      <c r="M553" s="188">
        <v>288</v>
      </c>
      <c r="N553" s="169" t="s">
        <v>11</v>
      </c>
    </row>
    <row r="554" spans="1:14" x14ac:dyDescent="0.25">
      <c r="A554" s="63" t="s">
        <v>8</v>
      </c>
      <c r="B554" s="71" t="s">
        <v>2519</v>
      </c>
      <c r="C554" s="2">
        <v>4099854296741</v>
      </c>
      <c r="D554" s="103"/>
      <c r="E554" s="104"/>
      <c r="G554" s="156" t="str">
        <f>HYPERLINK("https://ledvance.com/pt/product-datasheet/281912/303901","Ficha Técnica")</f>
        <v>Ficha Técnica</v>
      </c>
      <c r="H554" s="15">
        <v>2</v>
      </c>
      <c r="I554" s="163" t="s">
        <v>1715</v>
      </c>
      <c r="J554" s="15" t="s">
        <v>1712</v>
      </c>
      <c r="K554" s="163" t="s">
        <v>46</v>
      </c>
      <c r="L554" s="15">
        <v>5</v>
      </c>
      <c r="M554" s="188">
        <v>288</v>
      </c>
      <c r="N554" s="169" t="s">
        <v>11</v>
      </c>
    </row>
    <row r="555" spans="1:14" x14ac:dyDescent="0.25">
      <c r="A555" s="63" t="s">
        <v>8</v>
      </c>
      <c r="B555" s="71" t="s">
        <v>2520</v>
      </c>
      <c r="C555" s="2">
        <v>4099854135477</v>
      </c>
      <c r="D555" s="95">
        <v>4058075109681</v>
      </c>
      <c r="E555" s="96" t="s">
        <v>193</v>
      </c>
      <c r="F555" s="16"/>
      <c r="G555" s="156" t="str">
        <f>HYPERLINK("https://ledvance.com/pt/product-datasheet/281914/259062","Ficha Técnica")</f>
        <v>Ficha Técnica</v>
      </c>
      <c r="H555" s="15">
        <v>2</v>
      </c>
      <c r="I555" s="163" t="s">
        <v>1716</v>
      </c>
      <c r="J555" s="15" t="s">
        <v>1717</v>
      </c>
      <c r="K555" s="163" t="s">
        <v>46</v>
      </c>
      <c r="L555" s="15">
        <v>5</v>
      </c>
      <c r="M555" s="188">
        <v>356.3</v>
      </c>
      <c r="N555" s="169" t="s">
        <v>11</v>
      </c>
    </row>
    <row r="556" spans="1:14" x14ac:dyDescent="0.25">
      <c r="A556" s="63" t="s">
        <v>8</v>
      </c>
      <c r="B556" s="74" t="s">
        <v>2521</v>
      </c>
      <c r="C556" s="2">
        <v>4099854135491</v>
      </c>
      <c r="D556" s="95" t="s">
        <v>1994</v>
      </c>
      <c r="E556" s="96" t="s">
        <v>1995</v>
      </c>
      <c r="F556" s="16"/>
      <c r="G556" s="156" t="str">
        <f>HYPERLINK("https://ledvance.com/pt/product-datasheet/281914/259065","Ficha Técnica")</f>
        <v>Ficha Técnica</v>
      </c>
      <c r="H556" s="15">
        <v>2</v>
      </c>
      <c r="I556" s="163" t="s">
        <v>1718</v>
      </c>
      <c r="J556" s="15" t="s">
        <v>1717</v>
      </c>
      <c r="K556" s="163" t="s">
        <v>46</v>
      </c>
      <c r="L556" s="15">
        <v>5</v>
      </c>
      <c r="M556" s="188">
        <v>356.3</v>
      </c>
      <c r="N556" s="169" t="s">
        <v>11</v>
      </c>
    </row>
    <row r="557" spans="1:14" x14ac:dyDescent="0.25">
      <c r="A557" s="63" t="s">
        <v>8</v>
      </c>
      <c r="B557" s="71" t="s">
        <v>2522</v>
      </c>
      <c r="C557" s="2">
        <v>4099854296789</v>
      </c>
      <c r="D557" s="103"/>
      <c r="E557" s="104"/>
      <c r="G557" s="156" t="str">
        <f>HYPERLINK("https://ledvance.com/pt/product-datasheet/281914/303922","Ficha Técnica")</f>
        <v>Ficha Técnica</v>
      </c>
      <c r="H557" s="15">
        <v>2</v>
      </c>
      <c r="I557" s="163" t="s">
        <v>1719</v>
      </c>
      <c r="J557" s="15" t="s">
        <v>1720</v>
      </c>
      <c r="K557" s="163" t="s">
        <v>46</v>
      </c>
      <c r="L557" s="15">
        <v>5</v>
      </c>
      <c r="M557" s="188">
        <v>356.3</v>
      </c>
      <c r="N557" s="169" t="s">
        <v>11</v>
      </c>
    </row>
    <row r="558" spans="1:14" x14ac:dyDescent="0.25">
      <c r="A558" s="63" t="s">
        <v>8</v>
      </c>
      <c r="B558" s="71" t="s">
        <v>2523</v>
      </c>
      <c r="C558" s="2">
        <v>4099854296826</v>
      </c>
      <c r="D558" s="103"/>
      <c r="E558" s="104"/>
      <c r="G558" s="156" t="str">
        <f>HYPERLINK("https://ledvance.com/pt/product-datasheet/281914/303925","Ficha Técnica")</f>
        <v>Ficha Técnica</v>
      </c>
      <c r="H558" s="15">
        <v>2</v>
      </c>
      <c r="I558" s="163" t="s">
        <v>1721</v>
      </c>
      <c r="J558" s="15" t="s">
        <v>1720</v>
      </c>
      <c r="K558" s="163" t="s">
        <v>46</v>
      </c>
      <c r="L558" s="15">
        <v>5</v>
      </c>
      <c r="M558" s="188">
        <v>356.3</v>
      </c>
      <c r="N558" s="169" t="s">
        <v>11</v>
      </c>
    </row>
    <row r="559" spans="1:14" ht="15.75" x14ac:dyDescent="0.25">
      <c r="A559" s="66" t="s">
        <v>8</v>
      </c>
      <c r="B559" s="69" t="s">
        <v>2142</v>
      </c>
      <c r="C559" s="51"/>
      <c r="D559" s="65"/>
      <c r="E559" s="86"/>
      <c r="F559" s="12"/>
      <c r="G559" s="157"/>
      <c r="H559" s="12"/>
      <c r="I559" s="62"/>
      <c r="J559" s="27"/>
      <c r="K559" s="62"/>
      <c r="L559" s="12"/>
      <c r="M559" s="191"/>
      <c r="N559" s="65"/>
    </row>
    <row r="560" spans="1:14" x14ac:dyDescent="0.25">
      <c r="A560" s="63" t="s">
        <v>8</v>
      </c>
      <c r="B560" s="71" t="s">
        <v>2524</v>
      </c>
      <c r="C560" s="2">
        <v>4099854135712</v>
      </c>
      <c r="D560" s="103"/>
      <c r="E560" s="104"/>
      <c r="F560" s="16"/>
      <c r="G560" s="156" t="str">
        <f>HYPERLINK("https://ledvance.com/pt/product-datasheet/281913/259038","Ficha Técnica")</f>
        <v>Ficha Técnica</v>
      </c>
      <c r="H560" s="15">
        <v>2</v>
      </c>
      <c r="I560" s="163" t="s">
        <v>1722</v>
      </c>
      <c r="J560" s="15" t="s">
        <v>1723</v>
      </c>
      <c r="K560" s="163" t="s">
        <v>46</v>
      </c>
      <c r="L560" s="15">
        <v>5</v>
      </c>
      <c r="M560" s="188">
        <v>330</v>
      </c>
      <c r="N560" s="169" t="s">
        <v>11</v>
      </c>
    </row>
    <row r="561" spans="1:14" x14ac:dyDescent="0.25">
      <c r="A561" s="63" t="s">
        <v>8</v>
      </c>
      <c r="B561" s="71" t="s">
        <v>2525</v>
      </c>
      <c r="C561" s="2">
        <v>4099854135736</v>
      </c>
      <c r="D561" s="103"/>
      <c r="E561" s="104"/>
      <c r="F561" s="16"/>
      <c r="G561" s="156" t="str">
        <f>HYPERLINK("https://ledvance.com/pt/product-datasheet/281913/259041","Ficha Técnica")</f>
        <v>Ficha Técnica</v>
      </c>
      <c r="H561" s="15">
        <v>2</v>
      </c>
      <c r="I561" s="163" t="s">
        <v>1724</v>
      </c>
      <c r="J561" s="15" t="s">
        <v>1723</v>
      </c>
      <c r="K561" s="163" t="s">
        <v>46</v>
      </c>
      <c r="L561" s="15">
        <v>5</v>
      </c>
      <c r="M561" s="188">
        <v>330</v>
      </c>
      <c r="N561" s="169" t="s">
        <v>11</v>
      </c>
    </row>
    <row r="562" spans="1:14" x14ac:dyDescent="0.25">
      <c r="A562" s="63" t="s">
        <v>8</v>
      </c>
      <c r="B562" s="71" t="s">
        <v>2526</v>
      </c>
      <c r="C562" s="2">
        <v>4099854296680</v>
      </c>
      <c r="D562" s="103"/>
      <c r="E562" s="104"/>
      <c r="G562" s="156" t="str">
        <f>HYPERLINK("https://ledvance.com/pt/product-datasheet/281913/303904","Ficha Técnica")</f>
        <v>Ficha Técnica</v>
      </c>
      <c r="H562" s="15">
        <v>2</v>
      </c>
      <c r="I562" s="163" t="s">
        <v>1725</v>
      </c>
      <c r="J562" s="15" t="s">
        <v>1712</v>
      </c>
      <c r="K562" s="163" t="s">
        <v>46</v>
      </c>
      <c r="L562" s="15">
        <v>5</v>
      </c>
      <c r="M562" s="188">
        <v>330</v>
      </c>
      <c r="N562" s="169" t="s">
        <v>11</v>
      </c>
    </row>
    <row r="563" spans="1:14" x14ac:dyDescent="0.25">
      <c r="A563" s="63" t="s">
        <v>8</v>
      </c>
      <c r="B563" s="71" t="s">
        <v>2527</v>
      </c>
      <c r="C563" s="2">
        <v>4099854296727</v>
      </c>
      <c r="D563" s="103"/>
      <c r="E563" s="104"/>
      <c r="G563" s="156" t="str">
        <f>HYPERLINK("https://ledvance.com/pt/product-datasheet/281913/303907","Ficha Técnica")</f>
        <v>Ficha Técnica</v>
      </c>
      <c r="H563" s="15">
        <v>2</v>
      </c>
      <c r="I563" s="163" t="s">
        <v>1726</v>
      </c>
      <c r="J563" s="15" t="s">
        <v>1712</v>
      </c>
      <c r="K563" s="163" t="s">
        <v>46</v>
      </c>
      <c r="L563" s="15">
        <v>5</v>
      </c>
      <c r="M563" s="188">
        <v>330</v>
      </c>
      <c r="N563" s="169" t="s">
        <v>11</v>
      </c>
    </row>
    <row r="564" spans="1:14" x14ac:dyDescent="0.25">
      <c r="A564" s="63" t="s">
        <v>8</v>
      </c>
      <c r="B564" s="71" t="s">
        <v>2528</v>
      </c>
      <c r="C564" s="2">
        <v>4099854136047</v>
      </c>
      <c r="D564" s="95">
        <v>4058075503984</v>
      </c>
      <c r="E564" s="96" t="s">
        <v>194</v>
      </c>
      <c r="F564" s="16"/>
      <c r="G564" s="156" t="str">
        <f>HYPERLINK("https://ledvance.com/pt/product-datasheet/281915/259074","Ficha Técnica")</f>
        <v>Ficha Técnica</v>
      </c>
      <c r="H564" s="15">
        <v>2</v>
      </c>
      <c r="I564" s="163" t="s">
        <v>1727</v>
      </c>
      <c r="J564" s="15" t="s">
        <v>1728</v>
      </c>
      <c r="K564" s="163" t="s">
        <v>46</v>
      </c>
      <c r="L564" s="15">
        <v>5</v>
      </c>
      <c r="M564" s="188">
        <v>407.1</v>
      </c>
      <c r="N564" s="169" t="s">
        <v>11</v>
      </c>
    </row>
    <row r="565" spans="1:14" x14ac:dyDescent="0.25">
      <c r="A565" s="63" t="s">
        <v>8</v>
      </c>
      <c r="B565" s="71" t="s">
        <v>2529</v>
      </c>
      <c r="C565" s="2">
        <v>4099854136061</v>
      </c>
      <c r="D565" s="95">
        <v>4058075504004</v>
      </c>
      <c r="E565" s="96" t="s">
        <v>195</v>
      </c>
      <c r="F565" s="16"/>
      <c r="G565" s="156" t="str">
        <f>HYPERLINK("https://ledvance.com/pt/product-datasheet/281915/259077","Ficha Técnica")</f>
        <v>Ficha Técnica</v>
      </c>
      <c r="H565" s="15">
        <v>2</v>
      </c>
      <c r="I565" s="163" t="s">
        <v>1729</v>
      </c>
      <c r="J565" s="15" t="s">
        <v>1728</v>
      </c>
      <c r="K565" s="163" t="s">
        <v>46</v>
      </c>
      <c r="L565" s="15">
        <v>5</v>
      </c>
      <c r="M565" s="188">
        <v>407.1</v>
      </c>
      <c r="N565" s="169" t="s">
        <v>11</v>
      </c>
    </row>
    <row r="566" spans="1:14" x14ac:dyDescent="0.25">
      <c r="A566" s="63" t="s">
        <v>8</v>
      </c>
      <c r="B566" s="71" t="s">
        <v>2530</v>
      </c>
      <c r="C566" s="2">
        <v>4099854296765</v>
      </c>
      <c r="D566" s="103"/>
      <c r="E566" s="104"/>
      <c r="G566" s="156" t="str">
        <f>HYPERLINK("https://ledvance.com/pt/product-datasheet/281915/303928","Ficha Técnica")</f>
        <v>Ficha Técnica</v>
      </c>
      <c r="H566" s="15">
        <v>2</v>
      </c>
      <c r="I566" s="163" t="s">
        <v>1730</v>
      </c>
      <c r="J566" s="15" t="s">
        <v>1728</v>
      </c>
      <c r="K566" s="163" t="s">
        <v>46</v>
      </c>
      <c r="L566" s="15">
        <v>5</v>
      </c>
      <c r="M566" s="188">
        <v>407.1</v>
      </c>
      <c r="N566" s="169" t="s">
        <v>11</v>
      </c>
    </row>
    <row r="567" spans="1:14" x14ac:dyDescent="0.25">
      <c r="A567" s="63" t="s">
        <v>8</v>
      </c>
      <c r="B567" s="71" t="s">
        <v>2531</v>
      </c>
      <c r="C567" s="2">
        <v>4099854296802</v>
      </c>
      <c r="D567" s="103"/>
      <c r="E567" s="104"/>
      <c r="G567" s="156" t="str">
        <f>HYPERLINK("https://ledvance.com/pt/product-datasheet/281915/303931","Ficha Técnica")</f>
        <v>Ficha Técnica</v>
      </c>
      <c r="H567" s="15">
        <v>2</v>
      </c>
      <c r="I567" s="163" t="s">
        <v>1731</v>
      </c>
      <c r="J567" s="15" t="s">
        <v>1728</v>
      </c>
      <c r="K567" s="163" t="s">
        <v>46</v>
      </c>
      <c r="L567" s="15">
        <v>5</v>
      </c>
      <c r="M567" s="188">
        <v>407.1</v>
      </c>
      <c r="N567" s="169" t="s">
        <v>11</v>
      </c>
    </row>
    <row r="568" spans="1:14" x14ac:dyDescent="0.25">
      <c r="A568" s="66" t="s">
        <v>8</v>
      </c>
      <c r="B568" s="69" t="s">
        <v>2043</v>
      </c>
      <c r="C568" s="51"/>
      <c r="D568" s="65"/>
      <c r="E568" s="86"/>
      <c r="F568" s="12"/>
      <c r="G568" s="157"/>
      <c r="H568" s="12"/>
      <c r="I568" s="62"/>
      <c r="J568" s="27"/>
      <c r="K568" s="62"/>
      <c r="L568" s="12"/>
      <c r="M568" s="191"/>
      <c r="N568" s="65"/>
    </row>
    <row r="569" spans="1:14" x14ac:dyDescent="0.25">
      <c r="A569" s="63" t="s">
        <v>8</v>
      </c>
      <c r="B569" s="71" t="s">
        <v>2532</v>
      </c>
      <c r="C569" s="2">
        <v>4099854135392</v>
      </c>
      <c r="D569" s="103"/>
      <c r="E569" s="105"/>
      <c r="G569" s="158"/>
      <c r="H569" s="14"/>
      <c r="I569" s="158"/>
      <c r="J569" s="46"/>
      <c r="K569" s="158"/>
      <c r="L569" s="14"/>
      <c r="M569" s="188">
        <v>286.3</v>
      </c>
      <c r="N569" s="169" t="s">
        <v>11</v>
      </c>
    </row>
    <row r="570" spans="1:14" x14ac:dyDescent="0.25">
      <c r="A570" s="63" t="s">
        <v>8</v>
      </c>
      <c r="B570" s="71" t="s">
        <v>2533</v>
      </c>
      <c r="C570" s="2">
        <v>4099854135415</v>
      </c>
      <c r="D570" s="103"/>
      <c r="E570" s="105"/>
      <c r="G570" s="158"/>
      <c r="H570" s="14"/>
      <c r="I570" s="158"/>
      <c r="J570" s="46"/>
      <c r="K570" s="158"/>
      <c r="L570" s="14"/>
      <c r="M570" s="188">
        <v>286.3</v>
      </c>
      <c r="N570" s="169" t="s">
        <v>11</v>
      </c>
    </row>
    <row r="571" spans="1:14" x14ac:dyDescent="0.25">
      <c r="A571" s="66" t="s">
        <v>8</v>
      </c>
      <c r="B571" s="69" t="s">
        <v>2044</v>
      </c>
      <c r="C571" s="51"/>
      <c r="D571" s="65"/>
      <c r="E571" s="86"/>
      <c r="F571" s="12"/>
      <c r="G571" s="157"/>
      <c r="H571" s="12"/>
      <c r="I571" s="62"/>
      <c r="J571" s="27"/>
      <c r="K571" s="62"/>
      <c r="L571" s="12"/>
      <c r="M571" s="191"/>
      <c r="N571" s="65"/>
    </row>
    <row r="572" spans="1:14" x14ac:dyDescent="0.25">
      <c r="A572" s="63" t="s">
        <v>8</v>
      </c>
      <c r="B572" s="71" t="s">
        <v>2534</v>
      </c>
      <c r="C572" s="2">
        <v>4099854135965</v>
      </c>
      <c r="D572" s="103"/>
      <c r="E572" s="87"/>
      <c r="G572" s="158"/>
      <c r="H572" s="14"/>
      <c r="I572" s="158"/>
      <c r="J572" s="46"/>
      <c r="K572" s="158"/>
      <c r="L572" s="14"/>
      <c r="M572" s="188">
        <v>330</v>
      </c>
      <c r="N572" s="169" t="s">
        <v>11</v>
      </c>
    </row>
    <row r="573" spans="1:14" x14ac:dyDescent="0.25">
      <c r="A573" s="63" t="s">
        <v>8</v>
      </c>
      <c r="B573" s="71" t="s">
        <v>2535</v>
      </c>
      <c r="C573" s="2">
        <v>4099854135989</v>
      </c>
      <c r="D573" s="103"/>
      <c r="E573" s="87"/>
      <c r="G573" s="158"/>
      <c r="H573" s="14"/>
      <c r="I573" s="158"/>
      <c r="J573" s="46"/>
      <c r="K573" s="158"/>
      <c r="L573" s="14"/>
      <c r="M573" s="188">
        <v>330</v>
      </c>
      <c r="N573" s="169" t="s">
        <v>11</v>
      </c>
    </row>
    <row r="574" spans="1:14" ht="15.75" x14ac:dyDescent="0.25">
      <c r="A574" s="66" t="s">
        <v>8</v>
      </c>
      <c r="B574" s="69" t="s">
        <v>1999</v>
      </c>
      <c r="C574" s="51"/>
      <c r="D574" s="65"/>
      <c r="E574" s="86"/>
      <c r="F574" s="12"/>
      <c r="G574" s="157"/>
      <c r="H574" s="12"/>
      <c r="I574" s="62"/>
      <c r="J574" s="27"/>
      <c r="K574" s="62"/>
      <c r="L574" s="12"/>
      <c r="M574" s="191"/>
      <c r="N574" s="65"/>
    </row>
    <row r="575" spans="1:14" x14ac:dyDescent="0.25">
      <c r="A575" s="63" t="s">
        <v>8</v>
      </c>
      <c r="B575" s="71" t="s">
        <v>2536</v>
      </c>
      <c r="C575" s="2">
        <v>4099854249228</v>
      </c>
      <c r="D575" s="106"/>
      <c r="E575" s="107"/>
      <c r="G575" s="156" t="str">
        <f>HYPERLINK("https://ledvance.com/pt/product-datasheet/328308/288646","Ficha Técnica")</f>
        <v>Ficha Técnica</v>
      </c>
      <c r="H575" s="15">
        <v>2</v>
      </c>
      <c r="I575" s="163" t="s">
        <v>1732</v>
      </c>
      <c r="J575" s="15" t="s">
        <v>1723</v>
      </c>
      <c r="K575" s="163" t="s">
        <v>46</v>
      </c>
      <c r="L575" s="15">
        <v>5</v>
      </c>
      <c r="M575" s="188">
        <v>482.5</v>
      </c>
      <c r="N575" s="169" t="s">
        <v>11</v>
      </c>
    </row>
    <row r="576" spans="1:14" x14ac:dyDescent="0.25">
      <c r="A576" s="63" t="s">
        <v>8</v>
      </c>
      <c r="B576" s="71" t="s">
        <v>2537</v>
      </c>
      <c r="C576" s="2">
        <v>4099854249273</v>
      </c>
      <c r="D576" s="106"/>
      <c r="E576" s="107"/>
      <c r="G576" s="156" t="str">
        <f>HYPERLINK("https://ledvance.com/pt/product-datasheet/328308/288649","Ficha Técnica")</f>
        <v>Ficha Técnica</v>
      </c>
      <c r="H576" s="15">
        <v>2</v>
      </c>
      <c r="I576" s="163" t="s">
        <v>1724</v>
      </c>
      <c r="J576" s="15" t="s">
        <v>1723</v>
      </c>
      <c r="K576" s="163" t="s">
        <v>46</v>
      </c>
      <c r="L576" s="15">
        <v>5</v>
      </c>
      <c r="M576" s="188">
        <v>482.5</v>
      </c>
      <c r="N576" s="169" t="s">
        <v>11</v>
      </c>
    </row>
    <row r="577" spans="1:14" x14ac:dyDescent="0.25">
      <c r="A577" s="63" t="s">
        <v>8</v>
      </c>
      <c r="B577" s="71" t="s">
        <v>2538</v>
      </c>
      <c r="C577" s="2">
        <v>4099854371721</v>
      </c>
      <c r="D577" s="106"/>
      <c r="E577" s="107"/>
      <c r="G577" s="156" t="str">
        <f>HYPERLINK("https://ledvance.com/pt/product-datasheet/328308/322866","Ficha Técnica")</f>
        <v>Ficha Técnica</v>
      </c>
      <c r="H577" s="15">
        <v>2</v>
      </c>
      <c r="I577" s="163" t="s">
        <v>1725</v>
      </c>
      <c r="J577" s="15" t="s">
        <v>1723</v>
      </c>
      <c r="K577" s="163" t="s">
        <v>46</v>
      </c>
      <c r="L577" s="15">
        <v>5</v>
      </c>
      <c r="M577" s="188">
        <v>482.5</v>
      </c>
      <c r="N577" s="169" t="s">
        <v>11</v>
      </c>
    </row>
    <row r="578" spans="1:14" x14ac:dyDescent="0.25">
      <c r="A578" s="63" t="s">
        <v>8</v>
      </c>
      <c r="B578" s="71" t="s">
        <v>2539</v>
      </c>
      <c r="C578" s="2">
        <v>4099854371745</v>
      </c>
      <c r="D578" s="106"/>
      <c r="E578" s="107"/>
      <c r="G578" s="156" t="str">
        <f>HYPERLINK("https://ledvance.com/pt/product-datasheet/328308/322869","Ficha Técnica")</f>
        <v>Ficha Técnica</v>
      </c>
      <c r="H578" s="15">
        <v>2</v>
      </c>
      <c r="I578" s="163" t="s">
        <v>1726</v>
      </c>
      <c r="J578" s="15" t="s">
        <v>1723</v>
      </c>
      <c r="K578" s="163" t="s">
        <v>46</v>
      </c>
      <c r="L578" s="15">
        <v>5</v>
      </c>
      <c r="M578" s="188">
        <v>482.5</v>
      </c>
      <c r="N578" s="169" t="s">
        <v>11</v>
      </c>
    </row>
    <row r="579" spans="1:14" x14ac:dyDescent="0.25">
      <c r="A579" s="63" t="s">
        <v>8</v>
      </c>
      <c r="B579" s="71" t="s">
        <v>2540</v>
      </c>
      <c r="C579" s="2">
        <v>4099854249693</v>
      </c>
      <c r="D579" s="106"/>
      <c r="E579" s="107"/>
      <c r="G579" s="156" t="str">
        <f>HYPERLINK("https://ledvance.com/pt/product-datasheet/328415/288671","Ficha Técnica")</f>
        <v>Ficha Técnica</v>
      </c>
      <c r="H579" s="15">
        <v>2</v>
      </c>
      <c r="I579" s="163" t="s">
        <v>1727</v>
      </c>
      <c r="J579" s="15" t="s">
        <v>1728</v>
      </c>
      <c r="K579" s="163" t="s">
        <v>46</v>
      </c>
      <c r="L579" s="15">
        <v>5</v>
      </c>
      <c r="M579" s="188">
        <v>559.6</v>
      </c>
      <c r="N579" s="169" t="s">
        <v>11</v>
      </c>
    </row>
    <row r="580" spans="1:14" x14ac:dyDescent="0.25">
      <c r="A580" s="63" t="s">
        <v>8</v>
      </c>
      <c r="B580" s="71" t="s">
        <v>2541</v>
      </c>
      <c r="C580" s="2">
        <v>4099854249716</v>
      </c>
      <c r="D580" s="106"/>
      <c r="E580" s="107"/>
      <c r="G580" s="156" t="str">
        <f>HYPERLINK("https://ledvance.com/pt/product-datasheet/328415/288674","Ficha Técnica")</f>
        <v>Ficha Técnica</v>
      </c>
      <c r="H580" s="15">
        <v>2</v>
      </c>
      <c r="I580" s="163" t="s">
        <v>1729</v>
      </c>
      <c r="J580" s="15" t="s">
        <v>1728</v>
      </c>
      <c r="K580" s="163" t="s">
        <v>46</v>
      </c>
      <c r="L580" s="15">
        <v>5</v>
      </c>
      <c r="M580" s="188">
        <v>559.6</v>
      </c>
      <c r="N580" s="169" t="s">
        <v>11</v>
      </c>
    </row>
    <row r="581" spans="1:14" x14ac:dyDescent="0.25">
      <c r="A581" s="63" t="s">
        <v>8</v>
      </c>
      <c r="B581" s="71" t="s">
        <v>2542</v>
      </c>
      <c r="C581" s="2">
        <v>4099854371806</v>
      </c>
      <c r="D581" s="106"/>
      <c r="E581" s="107"/>
      <c r="G581" s="156" t="str">
        <f>HYPERLINK("https://ledvance.com/pt/product-datasheet/328415/322872","Ficha Técnica")</f>
        <v>Ficha Técnica</v>
      </c>
      <c r="H581" s="15">
        <v>2</v>
      </c>
      <c r="I581" s="163" t="s">
        <v>1730</v>
      </c>
      <c r="J581" s="15" t="s">
        <v>1728</v>
      </c>
      <c r="K581" s="163" t="s">
        <v>46</v>
      </c>
      <c r="L581" s="15">
        <v>5</v>
      </c>
      <c r="M581" s="188">
        <v>559.6</v>
      </c>
      <c r="N581" s="169" t="s">
        <v>11</v>
      </c>
    </row>
    <row r="582" spans="1:14" x14ac:dyDescent="0.25">
      <c r="A582" s="63" t="s">
        <v>8</v>
      </c>
      <c r="B582" s="71" t="s">
        <v>2543</v>
      </c>
      <c r="C582" s="2">
        <v>4099854371820</v>
      </c>
      <c r="D582" s="106"/>
      <c r="E582" s="107"/>
      <c r="G582" s="156" t="str">
        <f>HYPERLINK("https://ledvance.com/pt/product-datasheet/328415/322875","Ficha Técnica")</f>
        <v>Ficha Técnica</v>
      </c>
      <c r="H582" s="15">
        <v>2</v>
      </c>
      <c r="I582" s="163" t="s">
        <v>1731</v>
      </c>
      <c r="J582" s="15" t="s">
        <v>1728</v>
      </c>
      <c r="K582" s="163" t="s">
        <v>46</v>
      </c>
      <c r="L582" s="15">
        <v>5</v>
      </c>
      <c r="M582" s="188">
        <v>559.6</v>
      </c>
      <c r="N582" s="169" t="s">
        <v>11</v>
      </c>
    </row>
    <row r="583" spans="1:14" x14ac:dyDescent="0.25">
      <c r="A583" s="66" t="s">
        <v>8</v>
      </c>
      <c r="B583" s="69" t="s">
        <v>1460</v>
      </c>
      <c r="C583" s="51"/>
      <c r="D583" s="65"/>
      <c r="E583" s="86"/>
      <c r="F583" s="12"/>
      <c r="G583" s="157"/>
      <c r="H583" s="12"/>
      <c r="I583" s="62"/>
      <c r="J583" s="27"/>
      <c r="K583" s="62"/>
      <c r="L583" s="12"/>
      <c r="M583" s="191"/>
      <c r="N583" s="65"/>
    </row>
    <row r="584" spans="1:14" x14ac:dyDescent="0.25">
      <c r="A584" s="63" t="s">
        <v>8</v>
      </c>
      <c r="B584" s="71" t="s">
        <v>2544</v>
      </c>
      <c r="C584" s="2">
        <v>4099854249389</v>
      </c>
      <c r="D584" s="106"/>
      <c r="E584" s="107"/>
      <c r="G584" s="156" t="str">
        <f t="shared" ref="G584:G596" si="0">HYPERLINK("","Ficha Técnica")</f>
        <v>Ficha Técnica</v>
      </c>
      <c r="H584" s="15"/>
      <c r="I584" s="163"/>
      <c r="J584" s="15"/>
      <c r="K584" s="163"/>
      <c r="L584" s="15"/>
      <c r="M584" s="188">
        <v>433.3</v>
      </c>
      <c r="N584" s="169" t="s">
        <v>11</v>
      </c>
    </row>
    <row r="585" spans="1:14" x14ac:dyDescent="0.25">
      <c r="A585" s="63" t="s">
        <v>8</v>
      </c>
      <c r="B585" s="71" t="s">
        <v>2545</v>
      </c>
      <c r="C585" s="2">
        <v>4099854249402</v>
      </c>
      <c r="D585" s="106"/>
      <c r="E585" s="107"/>
      <c r="G585" s="156" t="str">
        <f t="shared" si="0"/>
        <v>Ficha Técnica</v>
      </c>
      <c r="H585" s="15"/>
      <c r="I585" s="163"/>
      <c r="J585" s="15"/>
      <c r="K585" s="163"/>
      <c r="L585" s="15"/>
      <c r="M585" s="188">
        <v>433.3</v>
      </c>
      <c r="N585" s="169" t="s">
        <v>11</v>
      </c>
    </row>
    <row r="586" spans="1:14" x14ac:dyDescent="0.25">
      <c r="A586" s="63" t="s">
        <v>8</v>
      </c>
      <c r="B586" s="71" t="s">
        <v>2546</v>
      </c>
      <c r="C586" s="2">
        <v>4099854249297</v>
      </c>
      <c r="D586" s="106"/>
      <c r="E586" s="107"/>
      <c r="G586" s="156" t="str">
        <f t="shared" si="0"/>
        <v>Ficha Técnica</v>
      </c>
      <c r="H586" s="15"/>
      <c r="I586" s="163"/>
      <c r="J586" s="15"/>
      <c r="K586" s="163"/>
      <c r="L586" s="15"/>
      <c r="M586" s="188">
        <v>389.6</v>
      </c>
      <c r="N586" s="169" t="s">
        <v>11</v>
      </c>
    </row>
    <row r="587" spans="1:14" x14ac:dyDescent="0.25">
      <c r="A587" s="63" t="s">
        <v>8</v>
      </c>
      <c r="B587" s="71" t="s">
        <v>2547</v>
      </c>
      <c r="C587" s="2">
        <v>4099854297571</v>
      </c>
      <c r="D587" s="106"/>
      <c r="E587" s="107"/>
      <c r="G587" s="156" t="str">
        <f t="shared" si="0"/>
        <v>Ficha Técnica</v>
      </c>
      <c r="H587" s="15"/>
      <c r="I587" s="163"/>
      <c r="J587" s="15"/>
      <c r="K587" s="163"/>
      <c r="L587" s="15"/>
      <c r="M587" s="188">
        <v>389.6</v>
      </c>
      <c r="N587" s="169" t="s">
        <v>11</v>
      </c>
    </row>
    <row r="588" spans="1:14" x14ac:dyDescent="0.25">
      <c r="A588" s="63" t="s">
        <v>8</v>
      </c>
      <c r="B588" s="71" t="s">
        <v>2548</v>
      </c>
      <c r="C588" s="2">
        <v>4099854249341</v>
      </c>
      <c r="D588" s="106"/>
      <c r="E588" s="107"/>
      <c r="G588" s="156" t="str">
        <f t="shared" si="0"/>
        <v>Ficha Técnica</v>
      </c>
      <c r="H588" s="15"/>
      <c r="I588" s="163"/>
      <c r="J588" s="15"/>
      <c r="K588" s="163"/>
      <c r="L588" s="15"/>
      <c r="M588" s="188">
        <v>389.6</v>
      </c>
      <c r="N588" s="169" t="s">
        <v>11</v>
      </c>
    </row>
    <row r="589" spans="1:14" x14ac:dyDescent="0.25">
      <c r="A589" s="63" t="s">
        <v>8</v>
      </c>
      <c r="B589" s="71" t="s">
        <v>2549</v>
      </c>
      <c r="C589" s="2">
        <v>4099854297656</v>
      </c>
      <c r="D589" s="106"/>
      <c r="E589" s="107"/>
      <c r="G589" s="156" t="str">
        <f t="shared" si="0"/>
        <v>Ficha Técnica</v>
      </c>
      <c r="H589" s="15"/>
      <c r="I589" s="163"/>
      <c r="J589" s="15"/>
      <c r="K589" s="163"/>
      <c r="L589" s="15"/>
      <c r="M589" s="188">
        <v>469.7</v>
      </c>
      <c r="N589" s="169" t="s">
        <v>11</v>
      </c>
    </row>
    <row r="590" spans="1:14" x14ac:dyDescent="0.25">
      <c r="A590" s="63" t="s">
        <v>8</v>
      </c>
      <c r="B590" s="71" t="s">
        <v>2550</v>
      </c>
      <c r="C590" s="2">
        <v>4099854297670</v>
      </c>
      <c r="D590" s="106"/>
      <c r="E590" s="107"/>
      <c r="G590" s="156" t="str">
        <f t="shared" si="0"/>
        <v>Ficha Técnica</v>
      </c>
      <c r="H590" s="15"/>
      <c r="I590" s="163"/>
      <c r="J590" s="15"/>
      <c r="K590" s="163"/>
      <c r="L590" s="15"/>
      <c r="M590" s="188">
        <v>469.7</v>
      </c>
      <c r="N590" s="169" t="s">
        <v>11</v>
      </c>
    </row>
    <row r="591" spans="1:14" x14ac:dyDescent="0.25">
      <c r="A591" s="63" t="s">
        <v>8</v>
      </c>
      <c r="B591" s="71" t="s">
        <v>2551</v>
      </c>
      <c r="C591" s="2">
        <v>4099854297717</v>
      </c>
      <c r="D591" s="106"/>
      <c r="E591" s="107"/>
      <c r="G591" s="156" t="str">
        <f t="shared" si="0"/>
        <v>Ficha Técnica</v>
      </c>
      <c r="H591" s="15"/>
      <c r="I591" s="163"/>
      <c r="J591" s="15"/>
      <c r="K591" s="163"/>
      <c r="L591" s="15"/>
      <c r="M591" s="188">
        <v>469.7</v>
      </c>
      <c r="N591" s="169" t="s">
        <v>11</v>
      </c>
    </row>
    <row r="592" spans="1:14" x14ac:dyDescent="0.25">
      <c r="A592" s="63" t="s">
        <v>8</v>
      </c>
      <c r="B592" s="71" t="s">
        <v>2552</v>
      </c>
      <c r="C592" s="2">
        <v>4099854297731</v>
      </c>
      <c r="D592" s="106"/>
      <c r="E592" s="107"/>
      <c r="G592" s="156" t="str">
        <f t="shared" si="0"/>
        <v>Ficha Técnica</v>
      </c>
      <c r="H592" s="15"/>
      <c r="I592" s="163"/>
      <c r="J592" s="15"/>
      <c r="K592" s="163"/>
      <c r="L592" s="15"/>
      <c r="M592" s="188">
        <v>469.7</v>
      </c>
      <c r="N592" s="169" t="s">
        <v>11</v>
      </c>
    </row>
    <row r="593" spans="1:14" x14ac:dyDescent="0.25">
      <c r="A593" s="63" t="s">
        <v>8</v>
      </c>
      <c r="B593" s="71" t="s">
        <v>2553</v>
      </c>
      <c r="C593" s="2">
        <v>4099854297694</v>
      </c>
      <c r="D593" s="106"/>
      <c r="E593" s="107"/>
      <c r="G593" s="156" t="str">
        <f t="shared" si="0"/>
        <v>Ficha Técnica</v>
      </c>
      <c r="H593" s="15"/>
      <c r="I593" s="163"/>
      <c r="J593" s="15"/>
      <c r="K593" s="163"/>
      <c r="L593" s="15"/>
      <c r="M593" s="188">
        <v>424</v>
      </c>
      <c r="N593" s="169" t="s">
        <v>11</v>
      </c>
    </row>
    <row r="594" spans="1:14" x14ac:dyDescent="0.25">
      <c r="A594" s="63" t="s">
        <v>8</v>
      </c>
      <c r="B594" s="71" t="s">
        <v>2554</v>
      </c>
      <c r="C594" s="2">
        <v>4099854249730</v>
      </c>
      <c r="D594" s="106"/>
      <c r="E594" s="107"/>
      <c r="G594" s="156" t="str">
        <f t="shared" si="0"/>
        <v>Ficha Técnica</v>
      </c>
      <c r="H594" s="15"/>
      <c r="I594" s="163"/>
      <c r="J594" s="15"/>
      <c r="K594" s="163"/>
      <c r="L594" s="15"/>
      <c r="M594" s="188">
        <v>424</v>
      </c>
      <c r="N594" s="169" t="s">
        <v>11</v>
      </c>
    </row>
    <row r="595" spans="1:14" x14ac:dyDescent="0.25">
      <c r="A595" s="63" t="s">
        <v>8</v>
      </c>
      <c r="B595" s="71" t="s">
        <v>2555</v>
      </c>
      <c r="C595" s="2">
        <v>4099854297755</v>
      </c>
      <c r="D595" s="106"/>
      <c r="E595" s="107"/>
      <c r="G595" s="156" t="str">
        <f t="shared" si="0"/>
        <v>Ficha Técnica</v>
      </c>
      <c r="H595" s="15"/>
      <c r="I595" s="163"/>
      <c r="J595" s="15"/>
      <c r="K595" s="163"/>
      <c r="L595" s="15"/>
      <c r="M595" s="188">
        <v>424</v>
      </c>
      <c r="N595" s="169" t="s">
        <v>11</v>
      </c>
    </row>
    <row r="596" spans="1:14" x14ac:dyDescent="0.25">
      <c r="A596" s="63" t="s">
        <v>8</v>
      </c>
      <c r="B596" s="71" t="s">
        <v>2556</v>
      </c>
      <c r="C596" s="2">
        <v>4099854249754</v>
      </c>
      <c r="D596" s="106"/>
      <c r="E596" s="107"/>
      <c r="G596" s="156" t="str">
        <f t="shared" si="0"/>
        <v>Ficha Técnica</v>
      </c>
      <c r="H596" s="15"/>
      <c r="I596" s="163"/>
      <c r="J596" s="15"/>
      <c r="K596" s="163"/>
      <c r="L596" s="15"/>
      <c r="M596" s="188">
        <v>424</v>
      </c>
      <c r="N596" s="169" t="s">
        <v>11</v>
      </c>
    </row>
    <row r="597" spans="1:14" x14ac:dyDescent="0.25">
      <c r="A597" s="63" t="s">
        <v>8</v>
      </c>
      <c r="B597" s="71" t="s">
        <v>2557</v>
      </c>
      <c r="C597" s="2">
        <v>4099854249853</v>
      </c>
      <c r="D597" s="106"/>
      <c r="E597" s="87"/>
      <c r="G597" s="158"/>
      <c r="H597" s="14"/>
      <c r="I597" s="158"/>
      <c r="J597" s="46"/>
      <c r="K597" s="158"/>
      <c r="L597" s="14"/>
      <c r="M597" s="188">
        <v>499</v>
      </c>
      <c r="N597" s="169" t="s">
        <v>11</v>
      </c>
    </row>
    <row r="598" spans="1:14" ht="15.75" x14ac:dyDescent="0.25">
      <c r="A598" s="66" t="s">
        <v>8</v>
      </c>
      <c r="B598" s="69" t="s">
        <v>2000</v>
      </c>
      <c r="C598" s="51"/>
      <c r="D598" s="65"/>
      <c r="E598" s="86"/>
      <c r="F598" s="12"/>
      <c r="G598" s="157"/>
      <c r="H598" s="12"/>
      <c r="I598" s="62"/>
      <c r="J598" s="27"/>
      <c r="K598" s="62"/>
      <c r="L598" s="12"/>
      <c r="M598" s="191"/>
      <c r="N598" s="65"/>
    </row>
    <row r="599" spans="1:14" x14ac:dyDescent="0.25">
      <c r="A599" s="63" t="s">
        <v>8</v>
      </c>
      <c r="B599" s="71" t="s">
        <v>2558</v>
      </c>
      <c r="C599" s="2">
        <v>4099854135156</v>
      </c>
      <c r="D599" s="95">
        <v>4058075109728</v>
      </c>
      <c r="E599" s="96" t="s">
        <v>196</v>
      </c>
      <c r="F599" s="16"/>
      <c r="G599" s="156" t="str">
        <f>HYPERLINK("https://ledvance.com/pt/product-datasheet/281916/258965","Ficha Técnica")</f>
        <v>Ficha Técnica</v>
      </c>
      <c r="H599" s="15">
        <v>2</v>
      </c>
      <c r="I599" s="163" t="s">
        <v>1733</v>
      </c>
      <c r="J599" s="15" t="s">
        <v>1734</v>
      </c>
      <c r="K599" s="163" t="s">
        <v>46</v>
      </c>
      <c r="L599" s="15">
        <v>5</v>
      </c>
      <c r="M599" s="188">
        <v>371.7</v>
      </c>
      <c r="N599" s="169" t="s">
        <v>11</v>
      </c>
    </row>
    <row r="600" spans="1:14" x14ac:dyDescent="0.25">
      <c r="A600" s="63" t="s">
        <v>8</v>
      </c>
      <c r="B600" s="71" t="s">
        <v>2559</v>
      </c>
      <c r="C600" s="2">
        <v>4099854135170</v>
      </c>
      <c r="D600" s="95">
        <v>4058075109742</v>
      </c>
      <c r="E600" s="96" t="s">
        <v>197</v>
      </c>
      <c r="F600" s="16"/>
      <c r="G600" s="156" t="str">
        <f>HYPERLINK("https://ledvance.com/pt/product-datasheet/281916/258968","Ficha Técnica")</f>
        <v>Ficha Técnica</v>
      </c>
      <c r="H600" s="15">
        <v>2</v>
      </c>
      <c r="I600" s="163" t="s">
        <v>1735</v>
      </c>
      <c r="J600" s="15" t="s">
        <v>1734</v>
      </c>
      <c r="K600" s="163" t="s">
        <v>46</v>
      </c>
      <c r="L600" s="15">
        <v>5</v>
      </c>
      <c r="M600" s="188">
        <v>371.7</v>
      </c>
      <c r="N600" s="169" t="s">
        <v>11</v>
      </c>
    </row>
    <row r="601" spans="1:14" x14ac:dyDescent="0.25">
      <c r="A601" s="63" t="s">
        <v>8</v>
      </c>
      <c r="B601" s="71" t="s">
        <v>2560</v>
      </c>
      <c r="C601" s="2">
        <v>4099854296888</v>
      </c>
      <c r="D601" s="106"/>
      <c r="E601" s="107"/>
      <c r="G601" s="156" t="str">
        <f>HYPERLINK("https://ledvance.com/pt/product-datasheet/281916/303910","Ficha Técnica")</f>
        <v>Ficha Técnica</v>
      </c>
      <c r="H601" s="15">
        <v>2</v>
      </c>
      <c r="I601" s="163" t="s">
        <v>1736</v>
      </c>
      <c r="J601" s="15" t="s">
        <v>1734</v>
      </c>
      <c r="K601" s="163" t="s">
        <v>46</v>
      </c>
      <c r="L601" s="15">
        <v>5</v>
      </c>
      <c r="M601" s="188">
        <v>371.8</v>
      </c>
      <c r="N601" s="169" t="s">
        <v>11</v>
      </c>
    </row>
    <row r="602" spans="1:14" x14ac:dyDescent="0.25">
      <c r="A602" s="63" t="s">
        <v>8</v>
      </c>
      <c r="B602" s="71" t="s">
        <v>2561</v>
      </c>
      <c r="C602" s="2">
        <v>4099854296901</v>
      </c>
      <c r="D602" s="106"/>
      <c r="E602" s="107"/>
      <c r="G602" s="156" t="str">
        <f>HYPERLINK("https://ledvance.com/pt/product-datasheet/281916/303913","Ficha Técnica")</f>
        <v>Ficha Técnica</v>
      </c>
      <c r="H602" s="15">
        <v>2</v>
      </c>
      <c r="I602" s="163" t="s">
        <v>1737</v>
      </c>
      <c r="J602" s="15" t="s">
        <v>1734</v>
      </c>
      <c r="K602" s="163" t="s">
        <v>46</v>
      </c>
      <c r="L602" s="15">
        <v>5</v>
      </c>
      <c r="M602" s="188">
        <v>371.8</v>
      </c>
      <c r="N602" s="169" t="s">
        <v>11</v>
      </c>
    </row>
    <row r="603" spans="1:14" x14ac:dyDescent="0.25">
      <c r="A603" s="63" t="s">
        <v>8</v>
      </c>
      <c r="B603" s="71" t="s">
        <v>2562</v>
      </c>
      <c r="C603" s="2">
        <v>4099854135231</v>
      </c>
      <c r="D603" s="95">
        <v>4058075109766</v>
      </c>
      <c r="E603" s="96" t="s">
        <v>198</v>
      </c>
      <c r="F603" s="16"/>
      <c r="G603" s="156" t="str">
        <f>HYPERLINK("https://ledvance.com/pt/product-datasheet/281918/258990","Ficha Técnica")</f>
        <v>Ficha Técnica</v>
      </c>
      <c r="H603" s="15">
        <v>2</v>
      </c>
      <c r="I603" s="163" t="s">
        <v>1738</v>
      </c>
      <c r="J603" s="15" t="s">
        <v>1739</v>
      </c>
      <c r="K603" s="163" t="s">
        <v>46</v>
      </c>
      <c r="L603" s="15">
        <v>5</v>
      </c>
      <c r="M603" s="188">
        <v>439.6</v>
      </c>
      <c r="N603" s="169" t="s">
        <v>11</v>
      </c>
    </row>
    <row r="604" spans="1:14" x14ac:dyDescent="0.25">
      <c r="A604" s="63" t="s">
        <v>8</v>
      </c>
      <c r="B604" s="71" t="s">
        <v>2563</v>
      </c>
      <c r="C604" s="2">
        <v>4099854135255</v>
      </c>
      <c r="D604" s="95">
        <v>4058075110441</v>
      </c>
      <c r="E604" s="96" t="s">
        <v>199</v>
      </c>
      <c r="F604" s="16"/>
      <c r="G604" s="156" t="str">
        <f>HYPERLINK("https://ledvance.com/pt/product-datasheet/281918/258993","Ficha Técnica")</f>
        <v>Ficha Técnica</v>
      </c>
      <c r="H604" s="15">
        <v>2</v>
      </c>
      <c r="I604" s="163" t="s">
        <v>1740</v>
      </c>
      <c r="J604" s="15" t="s">
        <v>1739</v>
      </c>
      <c r="K604" s="163" t="s">
        <v>46</v>
      </c>
      <c r="L604" s="15">
        <v>5</v>
      </c>
      <c r="M604" s="188">
        <v>439.6</v>
      </c>
      <c r="N604" s="169" t="s">
        <v>11</v>
      </c>
    </row>
    <row r="605" spans="1:14" x14ac:dyDescent="0.25">
      <c r="A605" s="63" t="s">
        <v>8</v>
      </c>
      <c r="B605" s="71" t="s">
        <v>2564</v>
      </c>
      <c r="C605" s="2">
        <v>4099854296949</v>
      </c>
      <c r="D605" s="106"/>
      <c r="E605" s="107"/>
      <c r="G605" s="156" t="str">
        <f>HYPERLINK("https://ledvance.com/pt/product-datasheet/281918/303934","Ficha Técnica")</f>
        <v>Ficha Técnica</v>
      </c>
      <c r="H605" s="15">
        <v>2</v>
      </c>
      <c r="I605" s="163" t="s">
        <v>1741</v>
      </c>
      <c r="J605" s="15" t="s">
        <v>1739</v>
      </c>
      <c r="K605" s="163" t="s">
        <v>46</v>
      </c>
      <c r="L605" s="15">
        <v>5</v>
      </c>
      <c r="M605" s="188">
        <v>439.6</v>
      </c>
      <c r="N605" s="169" t="s">
        <v>11</v>
      </c>
    </row>
    <row r="606" spans="1:14" x14ac:dyDescent="0.25">
      <c r="A606" s="63" t="s">
        <v>8</v>
      </c>
      <c r="B606" s="71" t="s">
        <v>2565</v>
      </c>
      <c r="C606" s="2">
        <v>4099854296987</v>
      </c>
      <c r="D606" s="106"/>
      <c r="E606" s="107"/>
      <c r="G606" s="156" t="str">
        <f>HYPERLINK("https://ledvance.com/pt/product-datasheet/281918/303937","Ficha Técnica")</f>
        <v>Ficha Técnica</v>
      </c>
      <c r="H606" s="15">
        <v>2</v>
      </c>
      <c r="I606" s="163" t="s">
        <v>1742</v>
      </c>
      <c r="J606" s="15" t="s">
        <v>1739</v>
      </c>
      <c r="K606" s="163" t="s">
        <v>46</v>
      </c>
      <c r="L606" s="15">
        <v>5</v>
      </c>
      <c r="M606" s="188">
        <v>439.6</v>
      </c>
      <c r="N606" s="169" t="s">
        <v>11</v>
      </c>
    </row>
    <row r="607" spans="1:14" ht="15.75" x14ac:dyDescent="0.25">
      <c r="A607" s="66" t="s">
        <v>8</v>
      </c>
      <c r="B607" s="76" t="s">
        <v>2153</v>
      </c>
      <c r="C607" s="51"/>
      <c r="D607" s="65"/>
      <c r="E607" s="86"/>
      <c r="F607" s="12"/>
      <c r="G607" s="157"/>
      <c r="H607" s="12"/>
      <c r="I607" s="62"/>
      <c r="J607" s="27"/>
      <c r="K607" s="62"/>
      <c r="L607" s="12"/>
      <c r="M607" s="191"/>
      <c r="N607" s="65"/>
    </row>
    <row r="608" spans="1:14" x14ac:dyDescent="0.25">
      <c r="A608" s="63" t="s">
        <v>8</v>
      </c>
      <c r="B608" s="71" t="s">
        <v>2566</v>
      </c>
      <c r="C608" s="2">
        <v>4099854135552</v>
      </c>
      <c r="D608" s="95">
        <v>4058075109001</v>
      </c>
      <c r="E608" s="96" t="s">
        <v>200</v>
      </c>
      <c r="F608" s="16"/>
      <c r="G608" s="156" t="str">
        <f>HYPERLINK("https://ledvance.com/pt/product-datasheet/281917/258977","Ficha Técnica")</f>
        <v>Ficha Técnica</v>
      </c>
      <c r="H608" s="15">
        <v>2</v>
      </c>
      <c r="I608" s="163" t="s">
        <v>1743</v>
      </c>
      <c r="J608" s="15" t="s">
        <v>1744</v>
      </c>
      <c r="K608" s="163" t="s">
        <v>46</v>
      </c>
      <c r="L608" s="15">
        <v>5</v>
      </c>
      <c r="M608" s="188">
        <v>422.5</v>
      </c>
      <c r="N608" s="169" t="s">
        <v>11</v>
      </c>
    </row>
    <row r="609" spans="1:14" x14ac:dyDescent="0.25">
      <c r="A609" s="63" t="s">
        <v>8</v>
      </c>
      <c r="B609" s="71" t="s">
        <v>2567</v>
      </c>
      <c r="C609" s="2">
        <v>4099854135576</v>
      </c>
      <c r="D609" s="95">
        <v>4058075109025</v>
      </c>
      <c r="E609" s="96" t="s">
        <v>201</v>
      </c>
      <c r="F609" s="16"/>
      <c r="G609" s="156" t="str">
        <f>HYPERLINK("https://ledvance.com/pt/product-datasheet/281917/258980","Ficha Técnica")</f>
        <v>Ficha Técnica</v>
      </c>
      <c r="H609" s="15">
        <v>2</v>
      </c>
      <c r="I609" s="163" t="s">
        <v>1745</v>
      </c>
      <c r="J609" s="15" t="s">
        <v>1744</v>
      </c>
      <c r="K609" s="163" t="s">
        <v>46</v>
      </c>
      <c r="L609" s="15">
        <v>5</v>
      </c>
      <c r="M609" s="188">
        <v>422.5</v>
      </c>
      <c r="N609" s="169" t="s">
        <v>11</v>
      </c>
    </row>
    <row r="610" spans="1:14" x14ac:dyDescent="0.25">
      <c r="A610" s="63" t="s">
        <v>8</v>
      </c>
      <c r="B610" s="71" t="s">
        <v>2568</v>
      </c>
      <c r="C610" s="2">
        <v>4099854135637</v>
      </c>
      <c r="D610" s="95">
        <v>4058075109049</v>
      </c>
      <c r="E610" s="96" t="s">
        <v>202</v>
      </c>
      <c r="F610" s="16"/>
      <c r="G610" s="156" t="str">
        <f>HYPERLINK("https://ledvance.com/pt/product-datasheet/281919/259002","Ficha Técnica")</f>
        <v>Ficha Técnica</v>
      </c>
      <c r="H610" s="15">
        <v>2</v>
      </c>
      <c r="I610" s="163" t="s">
        <v>1746</v>
      </c>
      <c r="J610" s="15" t="s">
        <v>1747</v>
      </c>
      <c r="K610" s="163" t="s">
        <v>46</v>
      </c>
      <c r="L610" s="15">
        <v>5</v>
      </c>
      <c r="M610" s="188">
        <v>490.4</v>
      </c>
      <c r="N610" s="169" t="s">
        <v>11</v>
      </c>
    </row>
    <row r="611" spans="1:14" x14ac:dyDescent="0.25">
      <c r="A611" s="63" t="s">
        <v>8</v>
      </c>
      <c r="B611" s="71" t="s">
        <v>2569</v>
      </c>
      <c r="C611" s="2">
        <v>4099854135651</v>
      </c>
      <c r="D611" s="95">
        <v>4058075109063</v>
      </c>
      <c r="E611" s="96" t="s">
        <v>203</v>
      </c>
      <c r="F611" s="16"/>
      <c r="G611" s="156" t="str">
        <f>HYPERLINK("https://ledvance.com/pt/product-datasheet/281919/259005","Ficha Técnica")</f>
        <v>Ficha Técnica</v>
      </c>
      <c r="H611" s="15">
        <v>2</v>
      </c>
      <c r="I611" s="163" t="s">
        <v>1748</v>
      </c>
      <c r="J611" s="15" t="s">
        <v>1747</v>
      </c>
      <c r="K611" s="163" t="s">
        <v>46</v>
      </c>
      <c r="L611" s="15">
        <v>5</v>
      </c>
      <c r="M611" s="188">
        <v>490.4</v>
      </c>
      <c r="N611" s="169" t="s">
        <v>11</v>
      </c>
    </row>
    <row r="612" spans="1:14" x14ac:dyDescent="0.25">
      <c r="A612" s="63" t="s">
        <v>8</v>
      </c>
      <c r="B612" s="71" t="s">
        <v>2570</v>
      </c>
      <c r="C612" s="2">
        <v>4099854296840</v>
      </c>
      <c r="D612" s="106"/>
      <c r="E612" s="107"/>
      <c r="G612" s="156" t="str">
        <f>HYPERLINK("https://ledvance.com/pt/product-datasheet/281917/303916","Ficha Técnica")</f>
        <v>Ficha Técnica</v>
      </c>
      <c r="H612" s="15">
        <v>2</v>
      </c>
      <c r="I612" s="163" t="s">
        <v>1749</v>
      </c>
      <c r="J612" s="15" t="s">
        <v>1744</v>
      </c>
      <c r="K612" s="163" t="s">
        <v>46</v>
      </c>
      <c r="L612" s="15">
        <v>5</v>
      </c>
      <c r="M612" s="188">
        <v>422.6</v>
      </c>
      <c r="N612" s="169" t="s">
        <v>11</v>
      </c>
    </row>
    <row r="613" spans="1:14" x14ac:dyDescent="0.25">
      <c r="A613" s="63" t="s">
        <v>8</v>
      </c>
      <c r="B613" s="71" t="s">
        <v>2571</v>
      </c>
      <c r="C613" s="2">
        <v>4099854296864</v>
      </c>
      <c r="D613" s="106"/>
      <c r="E613" s="107"/>
      <c r="G613" s="156" t="str">
        <f>HYPERLINK("https://ledvance.com/pt/product-datasheet/281917/303919","Ficha Técnica")</f>
        <v>Ficha Técnica</v>
      </c>
      <c r="H613" s="15">
        <v>2</v>
      </c>
      <c r="I613" s="163" t="s">
        <v>1750</v>
      </c>
      <c r="J613" s="15" t="s">
        <v>1744</v>
      </c>
      <c r="K613" s="163" t="s">
        <v>46</v>
      </c>
      <c r="L613" s="15">
        <v>5</v>
      </c>
      <c r="M613" s="188">
        <v>422.6</v>
      </c>
      <c r="N613" s="169" t="s">
        <v>11</v>
      </c>
    </row>
    <row r="614" spans="1:14" x14ac:dyDescent="0.25">
      <c r="A614" s="63" t="s">
        <v>8</v>
      </c>
      <c r="B614" s="71" t="s">
        <v>2572</v>
      </c>
      <c r="C614" s="2">
        <v>4099854296925</v>
      </c>
      <c r="D614" s="106"/>
      <c r="E614" s="107"/>
      <c r="G614" s="156" t="str">
        <f>HYPERLINK("https://ledvance.com/pt/product-datasheet/281919/303940","Ficha Técnica")</f>
        <v>Ficha Técnica</v>
      </c>
      <c r="H614" s="15">
        <v>2</v>
      </c>
      <c r="I614" s="163" t="s">
        <v>1751</v>
      </c>
      <c r="J614" s="15" t="s">
        <v>1747</v>
      </c>
      <c r="K614" s="163" t="s">
        <v>46</v>
      </c>
      <c r="L614" s="15">
        <v>5</v>
      </c>
      <c r="M614" s="188">
        <v>490.4</v>
      </c>
      <c r="N614" s="169" t="s">
        <v>11</v>
      </c>
    </row>
    <row r="615" spans="1:14" x14ac:dyDescent="0.25">
      <c r="A615" s="63" t="s">
        <v>8</v>
      </c>
      <c r="B615" s="71" t="s">
        <v>2573</v>
      </c>
      <c r="C615" s="2">
        <v>4099854296963</v>
      </c>
      <c r="D615" s="106"/>
      <c r="E615" s="107"/>
      <c r="G615" s="156" t="str">
        <f>HYPERLINK("https://ledvance.com/pt/product-datasheet/281919/303943","Ficha Técnica")</f>
        <v>Ficha Técnica</v>
      </c>
      <c r="H615" s="15">
        <v>2</v>
      </c>
      <c r="I615" s="163" t="s">
        <v>1752</v>
      </c>
      <c r="J615" s="15" t="s">
        <v>1747</v>
      </c>
      <c r="K615" s="163" t="s">
        <v>46</v>
      </c>
      <c r="L615" s="15">
        <v>5</v>
      </c>
      <c r="M615" s="188">
        <v>490.4</v>
      </c>
      <c r="N615" s="169" t="s">
        <v>11</v>
      </c>
    </row>
    <row r="616" spans="1:14" ht="15.75" x14ac:dyDescent="0.25">
      <c r="A616" s="66" t="s">
        <v>8</v>
      </c>
      <c r="B616" s="69" t="s">
        <v>2140</v>
      </c>
      <c r="C616" s="51"/>
      <c r="D616" s="65"/>
      <c r="E616" s="86"/>
      <c r="F616" s="12"/>
      <c r="G616" s="157"/>
      <c r="H616" s="12"/>
      <c r="I616" s="62"/>
      <c r="J616" s="27"/>
      <c r="K616" s="62"/>
      <c r="L616" s="12"/>
      <c r="M616" s="191"/>
      <c r="N616" s="65"/>
    </row>
    <row r="617" spans="1:14" x14ac:dyDescent="0.25">
      <c r="A617" s="63" t="s">
        <v>8</v>
      </c>
      <c r="B617" s="71" t="s">
        <v>2574</v>
      </c>
      <c r="C617" s="2">
        <v>4099854249457</v>
      </c>
      <c r="D617" s="106"/>
      <c r="E617" s="107"/>
      <c r="G617" s="156" t="str">
        <f>HYPERLINK("https://ledvance.com/pt/product-datasheet/328445/288683","Ficha Técnica")</f>
        <v>Ficha Técnica</v>
      </c>
      <c r="H617" s="15">
        <v>2</v>
      </c>
      <c r="I617" s="163" t="s">
        <v>1743</v>
      </c>
      <c r="J617" s="15" t="s">
        <v>1744</v>
      </c>
      <c r="K617" s="163" t="s">
        <v>46</v>
      </c>
      <c r="L617" s="15">
        <v>5</v>
      </c>
      <c r="M617" s="188">
        <v>575</v>
      </c>
      <c r="N617" s="169" t="s">
        <v>11</v>
      </c>
    </row>
    <row r="618" spans="1:14" x14ac:dyDescent="0.25">
      <c r="A618" s="63" t="s">
        <v>8</v>
      </c>
      <c r="B618" s="71" t="s">
        <v>2575</v>
      </c>
      <c r="C618" s="2">
        <v>4099854249495</v>
      </c>
      <c r="D618" s="106"/>
      <c r="E618" s="107"/>
      <c r="G618" s="156" t="str">
        <f>HYPERLINK("https://ledvance.com/pt/product-datasheet/328445/288686","Ficha Técnica")</f>
        <v>Ficha Técnica</v>
      </c>
      <c r="H618" s="15">
        <v>2</v>
      </c>
      <c r="I618" s="163" t="s">
        <v>1745</v>
      </c>
      <c r="J618" s="15" t="s">
        <v>1744</v>
      </c>
      <c r="K618" s="163" t="s">
        <v>46</v>
      </c>
      <c r="L618" s="15">
        <v>5</v>
      </c>
      <c r="M618" s="188">
        <v>575</v>
      </c>
      <c r="N618" s="169" t="s">
        <v>11</v>
      </c>
    </row>
    <row r="619" spans="1:14" x14ac:dyDescent="0.25">
      <c r="A619" s="63" t="s">
        <v>8</v>
      </c>
      <c r="B619" s="71" t="s">
        <v>2576</v>
      </c>
      <c r="C619" s="2">
        <v>4099854371769</v>
      </c>
      <c r="D619" s="106"/>
      <c r="E619" s="107"/>
      <c r="G619" s="156" t="str">
        <f>HYPERLINK("https://ledvance.com/pt/product-datasheet/328445/322878","Ficha Técnica")</f>
        <v>Ficha Técnica</v>
      </c>
      <c r="H619" s="15">
        <v>2</v>
      </c>
      <c r="I619" s="163" t="s">
        <v>1749</v>
      </c>
      <c r="J619" s="15" t="s">
        <v>1744</v>
      </c>
      <c r="K619" s="163" t="s">
        <v>46</v>
      </c>
      <c r="L619" s="15">
        <v>5</v>
      </c>
      <c r="M619" s="188">
        <v>575</v>
      </c>
      <c r="N619" s="169" t="s">
        <v>11</v>
      </c>
    </row>
    <row r="620" spans="1:14" x14ac:dyDescent="0.25">
      <c r="A620" s="63" t="s">
        <v>8</v>
      </c>
      <c r="B620" s="71" t="s">
        <v>2577</v>
      </c>
      <c r="C620" s="2">
        <v>4099854371783</v>
      </c>
      <c r="D620" s="106"/>
      <c r="E620" s="107"/>
      <c r="G620" s="156" t="str">
        <f>HYPERLINK("https://ledvance.com/pt/product-datasheet/328445/322881","Ficha Técnica")</f>
        <v>Ficha Técnica</v>
      </c>
      <c r="H620" s="15">
        <v>2</v>
      </c>
      <c r="I620" s="163" t="s">
        <v>1750</v>
      </c>
      <c r="J620" s="15" t="s">
        <v>1744</v>
      </c>
      <c r="K620" s="163" t="s">
        <v>46</v>
      </c>
      <c r="L620" s="15">
        <v>5</v>
      </c>
      <c r="M620" s="188">
        <v>575</v>
      </c>
      <c r="N620" s="169" t="s">
        <v>11</v>
      </c>
    </row>
    <row r="621" spans="1:14" x14ac:dyDescent="0.25">
      <c r="A621" s="63" t="s">
        <v>8</v>
      </c>
      <c r="B621" s="71" t="s">
        <v>2578</v>
      </c>
      <c r="C621" s="2">
        <v>4099854249792</v>
      </c>
      <c r="D621" s="106"/>
      <c r="E621" s="107"/>
      <c r="G621" s="156" t="str">
        <f>HYPERLINK("https://ledvance.com/pt/product-datasheet/328536/288695","Ficha Técnica")</f>
        <v>Ficha Técnica</v>
      </c>
      <c r="H621" s="15">
        <v>2</v>
      </c>
      <c r="I621" s="163" t="s">
        <v>1746</v>
      </c>
      <c r="J621" s="15" t="s">
        <v>1747</v>
      </c>
      <c r="K621" s="163" t="s">
        <v>46</v>
      </c>
      <c r="L621" s="15">
        <v>5</v>
      </c>
      <c r="M621" s="188">
        <v>642.79999999999995</v>
      </c>
      <c r="N621" s="169" t="s">
        <v>11</v>
      </c>
    </row>
    <row r="622" spans="1:14" x14ac:dyDescent="0.25">
      <c r="A622" s="63" t="s">
        <v>8</v>
      </c>
      <c r="B622" s="71" t="s">
        <v>2579</v>
      </c>
      <c r="C622" s="2">
        <v>4099854249815</v>
      </c>
      <c r="D622" s="106"/>
      <c r="E622" s="107"/>
      <c r="G622" s="156" t="str">
        <f>HYPERLINK("https://ledvance.com/pt/product-datasheet/328536/288698","Ficha Técnica")</f>
        <v>Ficha Técnica</v>
      </c>
      <c r="H622" s="15">
        <v>2</v>
      </c>
      <c r="I622" s="163" t="s">
        <v>1748</v>
      </c>
      <c r="J622" s="15" t="s">
        <v>1747</v>
      </c>
      <c r="K622" s="163" t="s">
        <v>46</v>
      </c>
      <c r="L622" s="15">
        <v>5</v>
      </c>
      <c r="M622" s="188">
        <v>642.79999999999995</v>
      </c>
      <c r="N622" s="169" t="s">
        <v>11</v>
      </c>
    </row>
    <row r="623" spans="1:14" x14ac:dyDescent="0.25">
      <c r="A623" s="63" t="s">
        <v>8</v>
      </c>
      <c r="B623" s="71" t="s">
        <v>2580</v>
      </c>
      <c r="C623" s="2">
        <v>4099854371844</v>
      </c>
      <c r="D623" s="106"/>
      <c r="E623" s="107"/>
      <c r="G623" s="156" t="str">
        <f>HYPERLINK("https://ledvance.com/pt/product-datasheet/328536/322884","Ficha Técnica")</f>
        <v>Ficha Técnica</v>
      </c>
      <c r="H623" s="15">
        <v>2</v>
      </c>
      <c r="I623" s="163" t="s">
        <v>1751</v>
      </c>
      <c r="J623" s="15" t="s">
        <v>1747</v>
      </c>
      <c r="K623" s="163" t="s">
        <v>46</v>
      </c>
      <c r="L623" s="15">
        <v>5</v>
      </c>
      <c r="M623" s="188">
        <v>642.79999999999995</v>
      </c>
      <c r="N623" s="169" t="s">
        <v>11</v>
      </c>
    </row>
    <row r="624" spans="1:14" x14ac:dyDescent="0.25">
      <c r="A624" s="63" t="s">
        <v>8</v>
      </c>
      <c r="B624" s="71" t="s">
        <v>2581</v>
      </c>
      <c r="C624" s="2">
        <v>4099854371868</v>
      </c>
      <c r="D624" s="106"/>
      <c r="E624" s="107"/>
      <c r="G624" s="156" t="str">
        <f>HYPERLINK("https://ledvance.com/pt/product-datasheet/328536/322887","Ficha Técnica")</f>
        <v>Ficha Técnica</v>
      </c>
      <c r="H624" s="15">
        <v>2</v>
      </c>
      <c r="I624" s="163" t="s">
        <v>1752</v>
      </c>
      <c r="J624" s="15" t="s">
        <v>1747</v>
      </c>
      <c r="K624" s="163" t="s">
        <v>46</v>
      </c>
      <c r="L624" s="15">
        <v>5</v>
      </c>
      <c r="M624" s="188">
        <v>642.79999999999995</v>
      </c>
      <c r="N624" s="169" t="s">
        <v>11</v>
      </c>
    </row>
    <row r="625" spans="1:14" x14ac:dyDescent="0.25">
      <c r="A625" s="66" t="s">
        <v>8</v>
      </c>
      <c r="B625" s="69" t="s">
        <v>1461</v>
      </c>
      <c r="C625" s="51"/>
      <c r="D625" s="65"/>
      <c r="E625" s="86"/>
      <c r="F625" s="12"/>
      <c r="G625" s="157"/>
      <c r="H625" s="12"/>
      <c r="I625" s="62"/>
      <c r="J625" s="27"/>
      <c r="K625" s="62"/>
      <c r="L625" s="12"/>
      <c r="M625" s="191"/>
      <c r="N625" s="65"/>
    </row>
    <row r="626" spans="1:14" x14ac:dyDescent="0.25">
      <c r="A626" s="63" t="s">
        <v>8</v>
      </c>
      <c r="B626" s="71" t="s">
        <v>2582</v>
      </c>
      <c r="C626" s="2">
        <v>4099854249570</v>
      </c>
      <c r="D626" s="106"/>
      <c r="E626" s="107"/>
      <c r="G626" s="156" t="str">
        <f t="shared" ref="G626:G640" si="1">HYPERLINK("","Ficha Técnica")</f>
        <v>Ficha Técnica</v>
      </c>
      <c r="H626" s="15"/>
      <c r="I626" s="163"/>
      <c r="J626" s="15"/>
      <c r="K626" s="163"/>
      <c r="L626" s="15"/>
      <c r="M626" s="188">
        <v>483.7</v>
      </c>
      <c r="N626" s="169" t="s">
        <v>11</v>
      </c>
    </row>
    <row r="627" spans="1:14" x14ac:dyDescent="0.25">
      <c r="A627" s="63" t="s">
        <v>8</v>
      </c>
      <c r="B627" s="71" t="s">
        <v>2583</v>
      </c>
      <c r="C627" s="2">
        <v>4099854249617</v>
      </c>
      <c r="D627" s="106"/>
      <c r="E627" s="107"/>
      <c r="G627" s="156" t="str">
        <f t="shared" si="1"/>
        <v>Ficha Técnica</v>
      </c>
      <c r="H627" s="15"/>
      <c r="I627" s="163"/>
      <c r="J627" s="15"/>
      <c r="K627" s="163"/>
      <c r="L627" s="15"/>
      <c r="M627" s="188">
        <v>483.7</v>
      </c>
      <c r="N627" s="169" t="s">
        <v>11</v>
      </c>
    </row>
    <row r="628" spans="1:14" x14ac:dyDescent="0.25">
      <c r="A628" s="63" t="s">
        <v>8</v>
      </c>
      <c r="B628" s="71" t="s">
        <v>2584</v>
      </c>
      <c r="C628" s="2">
        <v>4099854297779</v>
      </c>
      <c r="D628" s="106"/>
      <c r="E628" s="107"/>
      <c r="G628" s="156" t="str">
        <f t="shared" si="1"/>
        <v>Ficha Técnica</v>
      </c>
      <c r="H628" s="15"/>
      <c r="I628" s="163"/>
      <c r="J628" s="15"/>
      <c r="K628" s="163"/>
      <c r="L628" s="15"/>
      <c r="M628" s="188">
        <v>483.7</v>
      </c>
      <c r="N628" s="169" t="s">
        <v>11</v>
      </c>
    </row>
    <row r="629" spans="1:14" x14ac:dyDescent="0.25">
      <c r="A629" s="63" t="s">
        <v>8</v>
      </c>
      <c r="B629" s="71" t="s">
        <v>2585</v>
      </c>
      <c r="C629" s="2">
        <v>4099854297793</v>
      </c>
      <c r="D629" s="106"/>
      <c r="E629" s="107"/>
      <c r="G629" s="156" t="str">
        <f t="shared" si="1"/>
        <v>Ficha Técnica</v>
      </c>
      <c r="H629" s="15"/>
      <c r="I629" s="163"/>
      <c r="J629" s="15"/>
      <c r="K629" s="163"/>
      <c r="L629" s="15"/>
      <c r="M629" s="188">
        <v>483.7</v>
      </c>
      <c r="N629" s="169" t="s">
        <v>11</v>
      </c>
    </row>
    <row r="630" spans="1:14" x14ac:dyDescent="0.25">
      <c r="A630" s="63" t="s">
        <v>8</v>
      </c>
      <c r="B630" s="71" t="s">
        <v>2586</v>
      </c>
      <c r="C630" s="2">
        <v>4099854249532</v>
      </c>
      <c r="D630" s="106"/>
      <c r="E630" s="107"/>
      <c r="G630" s="156" t="str">
        <f t="shared" si="1"/>
        <v>Ficha Técnica</v>
      </c>
      <c r="H630" s="15"/>
      <c r="I630" s="163"/>
      <c r="J630" s="15"/>
      <c r="K630" s="163"/>
      <c r="L630" s="15"/>
      <c r="M630" s="188">
        <v>438</v>
      </c>
      <c r="N630" s="169" t="s">
        <v>11</v>
      </c>
    </row>
    <row r="631" spans="1:14" x14ac:dyDescent="0.25">
      <c r="A631" s="63" t="s">
        <v>8</v>
      </c>
      <c r="B631" s="71" t="s">
        <v>2587</v>
      </c>
      <c r="C631" s="2">
        <v>4099854249556</v>
      </c>
      <c r="D631" s="106"/>
      <c r="E631" s="107"/>
      <c r="G631" s="156" t="str">
        <f t="shared" si="1"/>
        <v>Ficha Técnica</v>
      </c>
      <c r="H631" s="15"/>
      <c r="I631" s="163"/>
      <c r="J631" s="15"/>
      <c r="K631" s="163"/>
      <c r="L631" s="15"/>
      <c r="M631" s="188">
        <v>438</v>
      </c>
      <c r="N631" s="169" t="s">
        <v>11</v>
      </c>
    </row>
    <row r="632" spans="1:14" x14ac:dyDescent="0.25">
      <c r="A632" s="63" t="s">
        <v>8</v>
      </c>
      <c r="B632" s="71" t="s">
        <v>2588</v>
      </c>
      <c r="C632" s="2">
        <v>4099854307898</v>
      </c>
      <c r="D632" s="106"/>
      <c r="E632" s="107"/>
      <c r="G632" s="156" t="str">
        <f t="shared" si="1"/>
        <v>Ficha Técnica</v>
      </c>
      <c r="H632" s="15"/>
      <c r="I632" s="163"/>
      <c r="J632" s="15"/>
      <c r="K632" s="163"/>
      <c r="L632" s="15"/>
      <c r="M632" s="188">
        <v>438</v>
      </c>
      <c r="N632" s="169" t="s">
        <v>11</v>
      </c>
    </row>
    <row r="633" spans="1:14" x14ac:dyDescent="0.25">
      <c r="A633" s="63" t="s">
        <v>8</v>
      </c>
      <c r="B633" s="71" t="s">
        <v>2589</v>
      </c>
      <c r="C633" s="2">
        <v>4099854307935</v>
      </c>
      <c r="D633" s="106"/>
      <c r="E633" s="107"/>
      <c r="G633" s="156" t="str">
        <f t="shared" si="1"/>
        <v>Ficha Técnica</v>
      </c>
      <c r="H633" s="15"/>
      <c r="I633" s="163"/>
      <c r="J633" s="15"/>
      <c r="K633" s="163"/>
      <c r="L633" s="15"/>
      <c r="M633" s="188">
        <v>438</v>
      </c>
      <c r="N633" s="169" t="s">
        <v>11</v>
      </c>
    </row>
    <row r="634" spans="1:14" x14ac:dyDescent="0.25">
      <c r="A634" s="63" t="s">
        <v>8</v>
      </c>
      <c r="B634" s="71" t="s">
        <v>2590</v>
      </c>
      <c r="C634" s="2">
        <v>4099854297816</v>
      </c>
      <c r="D634" s="106"/>
      <c r="E634" s="107"/>
      <c r="G634" s="156" t="str">
        <f t="shared" si="1"/>
        <v>Ficha Técnica</v>
      </c>
      <c r="H634" s="15"/>
      <c r="I634" s="163"/>
      <c r="J634" s="15"/>
      <c r="K634" s="163"/>
      <c r="L634" s="15"/>
      <c r="M634" s="188">
        <v>544.70000000000005</v>
      </c>
      <c r="N634" s="169" t="s">
        <v>11</v>
      </c>
    </row>
    <row r="635" spans="1:14" x14ac:dyDescent="0.25">
      <c r="A635" s="63" t="s">
        <v>8</v>
      </c>
      <c r="B635" s="71" t="s">
        <v>2591</v>
      </c>
      <c r="C635" s="2">
        <v>4099854297830</v>
      </c>
      <c r="D635" s="106"/>
      <c r="E635" s="107"/>
      <c r="G635" s="156" t="str">
        <f t="shared" si="1"/>
        <v>Ficha Técnica</v>
      </c>
      <c r="H635" s="15"/>
      <c r="I635" s="163"/>
      <c r="J635" s="15"/>
      <c r="K635" s="163"/>
      <c r="L635" s="15"/>
      <c r="M635" s="188">
        <v>544.70000000000005</v>
      </c>
      <c r="N635" s="169" t="s">
        <v>11</v>
      </c>
    </row>
    <row r="636" spans="1:14" x14ac:dyDescent="0.25">
      <c r="A636" s="63" t="s">
        <v>8</v>
      </c>
      <c r="B636" s="71" t="s">
        <v>2592</v>
      </c>
      <c r="C636" s="2">
        <v>4099854297878</v>
      </c>
      <c r="D636" s="106"/>
      <c r="E636" s="107"/>
      <c r="G636" s="156" t="str">
        <f t="shared" si="1"/>
        <v>Ficha Técnica</v>
      </c>
      <c r="H636" s="15"/>
      <c r="I636" s="163"/>
      <c r="J636" s="15"/>
      <c r="K636" s="163"/>
      <c r="L636" s="15"/>
      <c r="M636" s="188">
        <v>544.70000000000005</v>
      </c>
      <c r="N636" s="169" t="s">
        <v>11</v>
      </c>
    </row>
    <row r="637" spans="1:14" x14ac:dyDescent="0.25">
      <c r="A637" s="63" t="s">
        <v>8</v>
      </c>
      <c r="B637" s="71" t="s">
        <v>2593</v>
      </c>
      <c r="C637" s="2">
        <v>4099854297892</v>
      </c>
      <c r="D637" s="106"/>
      <c r="E637" s="107"/>
      <c r="G637" s="156" t="str">
        <f t="shared" si="1"/>
        <v>Ficha Técnica</v>
      </c>
      <c r="H637" s="15"/>
      <c r="I637" s="163"/>
      <c r="J637" s="15"/>
      <c r="K637" s="163"/>
      <c r="L637" s="15"/>
      <c r="M637" s="188">
        <v>544.70000000000005</v>
      </c>
      <c r="N637" s="169" t="s">
        <v>11</v>
      </c>
    </row>
    <row r="638" spans="1:14" x14ac:dyDescent="0.25">
      <c r="A638" s="63" t="s">
        <v>8</v>
      </c>
      <c r="B638" s="71" t="s">
        <v>2594</v>
      </c>
      <c r="C638" s="2">
        <v>4099854297854</v>
      </c>
      <c r="D638" s="106"/>
      <c r="E638" s="107"/>
      <c r="G638" s="156" t="str">
        <f t="shared" si="1"/>
        <v>Ficha Técnica</v>
      </c>
      <c r="H638" s="15"/>
      <c r="I638" s="163"/>
      <c r="J638" s="15"/>
      <c r="K638" s="163"/>
      <c r="L638" s="15"/>
      <c r="M638" s="188">
        <v>499</v>
      </c>
      <c r="N638" s="169" t="s">
        <v>11</v>
      </c>
    </row>
    <row r="639" spans="1:14" x14ac:dyDescent="0.25">
      <c r="A639" s="63" t="s">
        <v>8</v>
      </c>
      <c r="B639" s="71" t="s">
        <v>2595</v>
      </c>
      <c r="C639" s="2">
        <v>4099854249839</v>
      </c>
      <c r="D639" s="106"/>
      <c r="E639" s="107"/>
      <c r="G639" s="156" t="str">
        <f t="shared" si="1"/>
        <v>Ficha Técnica</v>
      </c>
      <c r="H639" s="15"/>
      <c r="I639" s="163"/>
      <c r="J639" s="15"/>
      <c r="K639" s="163"/>
      <c r="L639" s="15"/>
      <c r="M639" s="188">
        <v>499</v>
      </c>
      <c r="N639" s="169" t="s">
        <v>11</v>
      </c>
    </row>
    <row r="640" spans="1:14" x14ac:dyDescent="0.25">
      <c r="A640" s="63" t="s">
        <v>8</v>
      </c>
      <c r="B640" s="71" t="s">
        <v>2596</v>
      </c>
      <c r="C640" s="2">
        <v>4099854297939</v>
      </c>
      <c r="D640" s="106"/>
      <c r="E640" s="107"/>
      <c r="G640" s="156" t="str">
        <f t="shared" si="1"/>
        <v>Ficha Técnica</v>
      </c>
      <c r="H640" s="15"/>
      <c r="I640" s="163"/>
      <c r="J640" s="15"/>
      <c r="K640" s="163"/>
      <c r="L640" s="15"/>
      <c r="M640" s="188">
        <v>499</v>
      </c>
      <c r="N640" s="169" t="s">
        <v>11</v>
      </c>
    </row>
    <row r="641" spans="1:14" ht="15.75" x14ac:dyDescent="0.25">
      <c r="A641" s="66" t="s">
        <v>40</v>
      </c>
      <c r="B641" s="69" t="s">
        <v>2001</v>
      </c>
      <c r="C641" s="20"/>
      <c r="D641" s="65"/>
      <c r="E641" s="92"/>
      <c r="F641" s="12"/>
      <c r="G641" s="157"/>
      <c r="H641" s="12"/>
      <c r="I641" s="62"/>
      <c r="J641" s="27"/>
      <c r="K641" s="62"/>
      <c r="L641" s="12"/>
      <c r="M641" s="191"/>
      <c r="N641" s="65"/>
    </row>
    <row r="642" spans="1:14" x14ac:dyDescent="0.25">
      <c r="A642" s="63" t="s">
        <v>40</v>
      </c>
      <c r="B642" s="71" t="s">
        <v>2597</v>
      </c>
      <c r="C642" s="2">
        <v>4099854284359</v>
      </c>
      <c r="D642" s="93"/>
      <c r="E642" s="61"/>
      <c r="G642" s="156" t="str">
        <f t="shared" ref="G642:G653" si="2">HYPERLINK("","Ficha Técnica")</f>
        <v>Ficha Técnica</v>
      </c>
      <c r="H642" s="15"/>
      <c r="I642" s="163"/>
      <c r="J642" s="15"/>
      <c r="K642" s="163"/>
      <c r="L642" s="15"/>
      <c r="M642" s="188">
        <v>129.6</v>
      </c>
      <c r="N642" s="169" t="s">
        <v>11</v>
      </c>
    </row>
    <row r="643" spans="1:14" x14ac:dyDescent="0.25">
      <c r="A643" s="63" t="s">
        <v>40</v>
      </c>
      <c r="B643" s="71" t="s">
        <v>2598</v>
      </c>
      <c r="C643" s="2">
        <v>4099854284809</v>
      </c>
      <c r="D643" s="93"/>
      <c r="E643" s="61"/>
      <c r="G643" s="156" t="str">
        <f t="shared" si="2"/>
        <v>Ficha Técnica</v>
      </c>
      <c r="H643" s="15"/>
      <c r="I643" s="163"/>
      <c r="J643" s="15"/>
      <c r="K643" s="163"/>
      <c r="L643" s="15"/>
      <c r="M643" s="188">
        <v>129.6</v>
      </c>
      <c r="N643" s="169" t="s">
        <v>11</v>
      </c>
    </row>
    <row r="644" spans="1:14" x14ac:dyDescent="0.25">
      <c r="A644" s="63" t="s">
        <v>40</v>
      </c>
      <c r="B644" s="71" t="s">
        <v>2599</v>
      </c>
      <c r="C644" s="2">
        <v>4099854284830</v>
      </c>
      <c r="D644" s="93"/>
      <c r="E644" s="61"/>
      <c r="G644" s="156" t="str">
        <f t="shared" si="2"/>
        <v>Ficha Técnica</v>
      </c>
      <c r="H644" s="15"/>
      <c r="I644" s="163"/>
      <c r="J644" s="15"/>
      <c r="K644" s="163"/>
      <c r="L644" s="15"/>
      <c r="M644" s="188">
        <v>143.9</v>
      </c>
      <c r="N644" s="169" t="s">
        <v>11</v>
      </c>
    </row>
    <row r="645" spans="1:14" x14ac:dyDescent="0.25">
      <c r="A645" s="63" t="s">
        <v>40</v>
      </c>
      <c r="B645" s="71" t="s">
        <v>2600</v>
      </c>
      <c r="C645" s="2">
        <v>4099854284878</v>
      </c>
      <c r="D645" s="93"/>
      <c r="E645" s="61"/>
      <c r="G645" s="156" t="str">
        <f t="shared" si="2"/>
        <v>Ficha Técnica</v>
      </c>
      <c r="H645" s="15"/>
      <c r="I645" s="163"/>
      <c r="J645" s="15"/>
      <c r="K645" s="163"/>
      <c r="L645" s="15"/>
      <c r="M645" s="188">
        <v>69.099999999999994</v>
      </c>
      <c r="N645" s="169" t="s">
        <v>11</v>
      </c>
    </row>
    <row r="646" spans="1:14" x14ac:dyDescent="0.25">
      <c r="A646" s="63" t="s">
        <v>40</v>
      </c>
      <c r="B646" s="71" t="s">
        <v>2601</v>
      </c>
      <c r="C646" s="2">
        <v>4099854284908</v>
      </c>
      <c r="D646" s="93"/>
      <c r="E646" s="61"/>
      <c r="G646" s="156" t="str">
        <f t="shared" si="2"/>
        <v>Ficha Técnica</v>
      </c>
      <c r="H646" s="15"/>
      <c r="I646" s="163"/>
      <c r="J646" s="15"/>
      <c r="K646" s="163"/>
      <c r="L646" s="15"/>
      <c r="M646" s="188">
        <v>69.099999999999994</v>
      </c>
      <c r="N646" s="169" t="s">
        <v>11</v>
      </c>
    </row>
    <row r="647" spans="1:14" x14ac:dyDescent="0.25">
      <c r="A647" s="63" t="s">
        <v>40</v>
      </c>
      <c r="B647" s="71" t="s">
        <v>2602</v>
      </c>
      <c r="C647" s="2">
        <v>4099854284939</v>
      </c>
      <c r="D647" s="93"/>
      <c r="E647" s="61"/>
      <c r="G647" s="156" t="str">
        <f t="shared" si="2"/>
        <v>Ficha Técnica</v>
      </c>
      <c r="H647" s="15"/>
      <c r="I647" s="163"/>
      <c r="J647" s="15"/>
      <c r="K647" s="163"/>
      <c r="L647" s="15"/>
      <c r="M647" s="188">
        <v>60.7</v>
      </c>
      <c r="N647" s="169" t="s">
        <v>11</v>
      </c>
    </row>
    <row r="648" spans="1:14" x14ac:dyDescent="0.25">
      <c r="A648" s="63" t="s">
        <v>40</v>
      </c>
      <c r="B648" s="71" t="s">
        <v>2603</v>
      </c>
      <c r="C648" s="2">
        <v>4099854284960</v>
      </c>
      <c r="D648" s="93"/>
      <c r="E648" s="61"/>
      <c r="G648" s="156" t="str">
        <f t="shared" si="2"/>
        <v>Ficha Técnica</v>
      </c>
      <c r="H648" s="15"/>
      <c r="I648" s="163"/>
      <c r="J648" s="15"/>
      <c r="K648" s="163"/>
      <c r="L648" s="15"/>
      <c r="M648" s="188">
        <v>60.7</v>
      </c>
      <c r="N648" s="169" t="s">
        <v>11</v>
      </c>
    </row>
    <row r="649" spans="1:14" x14ac:dyDescent="0.25">
      <c r="A649" s="63" t="s">
        <v>40</v>
      </c>
      <c r="B649" s="71" t="s">
        <v>2604</v>
      </c>
      <c r="C649" s="2">
        <v>4099854284991</v>
      </c>
      <c r="D649" s="93"/>
      <c r="E649" s="61"/>
      <c r="G649" s="156" t="str">
        <f t="shared" si="2"/>
        <v>Ficha Técnica</v>
      </c>
      <c r="H649" s="15"/>
      <c r="I649" s="163"/>
      <c r="J649" s="15"/>
      <c r="K649" s="163"/>
      <c r="L649" s="15"/>
      <c r="M649" s="188">
        <v>81.8</v>
      </c>
      <c r="N649" s="169" t="s">
        <v>11</v>
      </c>
    </row>
    <row r="650" spans="1:14" x14ac:dyDescent="0.25">
      <c r="A650" s="63" t="s">
        <v>40</v>
      </c>
      <c r="B650" s="71" t="s">
        <v>2605</v>
      </c>
      <c r="C650" s="2">
        <v>4099854285028</v>
      </c>
      <c r="D650" s="93"/>
      <c r="E650" s="61"/>
      <c r="G650" s="156" t="str">
        <f t="shared" si="2"/>
        <v>Ficha Técnica</v>
      </c>
      <c r="H650" s="15"/>
      <c r="I650" s="163"/>
      <c r="J650" s="15"/>
      <c r="K650" s="163"/>
      <c r="L650" s="15"/>
      <c r="M650" s="188">
        <v>81.8</v>
      </c>
      <c r="N650" s="169" t="s">
        <v>11</v>
      </c>
    </row>
    <row r="651" spans="1:14" x14ac:dyDescent="0.25">
      <c r="A651" s="63" t="s">
        <v>40</v>
      </c>
      <c r="B651" s="71" t="s">
        <v>2606</v>
      </c>
      <c r="C651" s="2">
        <v>4099854285059</v>
      </c>
      <c r="D651" s="93"/>
      <c r="E651" s="61"/>
      <c r="G651" s="156" t="str">
        <f t="shared" si="2"/>
        <v>Ficha Técnica</v>
      </c>
      <c r="H651" s="15"/>
      <c r="I651" s="163"/>
      <c r="J651" s="15"/>
      <c r="K651" s="163"/>
      <c r="L651" s="15"/>
      <c r="M651" s="188">
        <v>72.400000000000006</v>
      </c>
      <c r="N651" s="169" t="s">
        <v>11</v>
      </c>
    </row>
    <row r="652" spans="1:14" x14ac:dyDescent="0.25">
      <c r="A652" s="63" t="s">
        <v>40</v>
      </c>
      <c r="B652" s="71" t="s">
        <v>2607</v>
      </c>
      <c r="C652" s="2">
        <v>4099854285080</v>
      </c>
      <c r="D652" s="93"/>
      <c r="E652" s="61"/>
      <c r="G652" s="156" t="str">
        <f t="shared" si="2"/>
        <v>Ficha Técnica</v>
      </c>
      <c r="H652" s="15"/>
      <c r="I652" s="163"/>
      <c r="J652" s="15"/>
      <c r="K652" s="163"/>
      <c r="L652" s="15"/>
      <c r="M652" s="188">
        <v>72.400000000000006</v>
      </c>
      <c r="N652" s="169" t="s">
        <v>11</v>
      </c>
    </row>
    <row r="653" spans="1:14" x14ac:dyDescent="0.25">
      <c r="A653" s="63" t="s">
        <v>40</v>
      </c>
      <c r="B653" s="71" t="s">
        <v>2608</v>
      </c>
      <c r="C653" s="2">
        <v>4099854284854</v>
      </c>
      <c r="D653" s="93"/>
      <c r="E653" s="61"/>
      <c r="G653" s="156" t="str">
        <f t="shared" si="2"/>
        <v>Ficha Técnica</v>
      </c>
      <c r="H653" s="15"/>
      <c r="I653" s="163"/>
      <c r="J653" s="15"/>
      <c r="K653" s="163"/>
      <c r="L653" s="15"/>
      <c r="M653" s="188">
        <v>143.9</v>
      </c>
      <c r="N653" s="169" t="s">
        <v>11</v>
      </c>
    </row>
    <row r="654" spans="1:14" x14ac:dyDescent="0.25">
      <c r="A654" s="63" t="s">
        <v>40</v>
      </c>
      <c r="B654" s="71" t="s">
        <v>1547</v>
      </c>
      <c r="C654" s="2">
        <v>4052899522558</v>
      </c>
      <c r="D654" s="93"/>
      <c r="E654" s="61"/>
      <c r="G654" s="156" t="str">
        <f>HYPERLINK("https://ledvance.com/pt/product-datasheet/7598/127144","Ficha Técnica")</f>
        <v>Ficha Técnica</v>
      </c>
      <c r="H654" s="15">
        <v>20</v>
      </c>
      <c r="I654" s="163"/>
      <c r="J654" s="15">
        <v>66</v>
      </c>
      <c r="K654" s="163" t="s">
        <v>46</v>
      </c>
      <c r="L654" s="15"/>
      <c r="M654" s="188">
        <v>35.4</v>
      </c>
      <c r="N654" s="169" t="s">
        <v>11</v>
      </c>
    </row>
    <row r="655" spans="1:14" ht="15.75" x14ac:dyDescent="0.25">
      <c r="A655" s="66" t="s">
        <v>40</v>
      </c>
      <c r="B655" s="69" t="s">
        <v>2223</v>
      </c>
      <c r="C655" s="51"/>
      <c r="D655" s="65"/>
      <c r="E655" s="86"/>
      <c r="F655" s="12"/>
      <c r="G655" s="157"/>
      <c r="H655" s="12"/>
      <c r="I655" s="62"/>
      <c r="J655" s="27"/>
      <c r="K655" s="62"/>
      <c r="L655" s="12"/>
      <c r="M655" s="191"/>
      <c r="N655" s="65"/>
    </row>
    <row r="656" spans="1:14" x14ac:dyDescent="0.25">
      <c r="A656" s="63" t="s">
        <v>40</v>
      </c>
      <c r="B656" s="71" t="s">
        <v>204</v>
      </c>
      <c r="C656" s="2">
        <v>4099854215537</v>
      </c>
      <c r="D656" s="95">
        <v>4058075133303</v>
      </c>
      <c r="E656" s="102" t="s">
        <v>1663</v>
      </c>
      <c r="F656" s="16"/>
      <c r="G656" s="156" t="str">
        <f>HYPERLINK("https://ledvance.com/pt/product-datasheet/281906/278961","Ficha Técnica")</f>
        <v>Ficha Técnica</v>
      </c>
      <c r="H656" s="15">
        <v>12</v>
      </c>
      <c r="I656" s="163"/>
      <c r="J656" s="15"/>
      <c r="K656" s="163"/>
      <c r="L656" s="15">
        <v>2</v>
      </c>
      <c r="M656" s="188">
        <v>59.3</v>
      </c>
      <c r="N656" s="169" t="s">
        <v>11</v>
      </c>
    </row>
    <row r="657" spans="1:14" x14ac:dyDescent="0.25">
      <c r="A657" s="63" t="s">
        <v>40</v>
      </c>
      <c r="B657" s="71" t="s">
        <v>1350</v>
      </c>
      <c r="C657" s="2">
        <v>4099854297069</v>
      </c>
      <c r="D657" s="93"/>
      <c r="E657" s="61"/>
      <c r="G657" s="156" t="str">
        <f>HYPERLINK("https://ledvance.com/pt/product-datasheet/281906/303946","Ficha Técnica")</f>
        <v>Ficha Técnica</v>
      </c>
      <c r="H657" s="15">
        <v>12</v>
      </c>
      <c r="I657" s="163"/>
      <c r="J657" s="15"/>
      <c r="K657" s="163"/>
      <c r="L657" s="15">
        <v>2</v>
      </c>
      <c r="M657" s="188">
        <v>59.3</v>
      </c>
      <c r="N657" s="169" t="s">
        <v>11</v>
      </c>
    </row>
    <row r="658" spans="1:14" x14ac:dyDescent="0.25">
      <c r="A658" s="63" t="s">
        <v>40</v>
      </c>
      <c r="B658" s="71" t="s">
        <v>205</v>
      </c>
      <c r="C658" s="2">
        <v>4099854323980</v>
      </c>
      <c r="D658" s="95">
        <v>4099854215551</v>
      </c>
      <c r="E658" s="102" t="s">
        <v>205</v>
      </c>
      <c r="G658" s="156" t="str">
        <f>HYPERLINK("https://ledvance.com/pt/product-datasheet/281907/311573","Ficha Técnica")</f>
        <v>Ficha Técnica</v>
      </c>
      <c r="H658" s="15">
        <v>72</v>
      </c>
      <c r="I658" s="163"/>
      <c r="J658" s="15"/>
      <c r="K658" s="163"/>
      <c r="L658" s="15">
        <v>2</v>
      </c>
      <c r="M658" s="188">
        <v>10.199999999999999</v>
      </c>
      <c r="N658" s="169" t="s">
        <v>11</v>
      </c>
    </row>
    <row r="659" spans="1:14" x14ac:dyDescent="0.25">
      <c r="A659" s="63" t="s">
        <v>40</v>
      </c>
      <c r="B659" s="71" t="s">
        <v>206</v>
      </c>
      <c r="C659" s="2">
        <v>4099854215612</v>
      </c>
      <c r="D659" s="95">
        <v>4058075133341</v>
      </c>
      <c r="E659" s="102" t="s">
        <v>1662</v>
      </c>
      <c r="F659" s="16"/>
      <c r="G659" s="156" t="str">
        <f>HYPERLINK("https://ledvance.com/pt/product-datasheet/281909/278967","Ficha Técnica")</f>
        <v>Ficha Técnica</v>
      </c>
      <c r="H659" s="15">
        <v>72</v>
      </c>
      <c r="I659" s="163"/>
      <c r="J659" s="15"/>
      <c r="K659" s="163"/>
      <c r="L659" s="15">
        <v>2</v>
      </c>
      <c r="M659" s="188">
        <v>10.4</v>
      </c>
      <c r="N659" s="169" t="s">
        <v>11</v>
      </c>
    </row>
    <row r="660" spans="1:14" x14ac:dyDescent="0.25">
      <c r="A660" s="63" t="s">
        <v>40</v>
      </c>
      <c r="B660" s="71" t="s">
        <v>207</v>
      </c>
      <c r="C660" s="2">
        <v>4099854308093</v>
      </c>
      <c r="D660" s="95">
        <v>4099854214905</v>
      </c>
      <c r="E660" s="102" t="s">
        <v>207</v>
      </c>
      <c r="G660" s="156" t="str">
        <f>HYPERLINK("https://ledvance.com/pt/product-datasheet/281910/307052","Ficha Técnica")</f>
        <v>Ficha Técnica</v>
      </c>
      <c r="H660" s="15">
        <v>4</v>
      </c>
      <c r="I660" s="163"/>
      <c r="J660" s="15"/>
      <c r="K660" s="163"/>
      <c r="L660" s="15">
        <v>2</v>
      </c>
      <c r="M660" s="188">
        <v>119.6</v>
      </c>
      <c r="N660" s="169" t="s">
        <v>11</v>
      </c>
    </row>
    <row r="661" spans="1:14" x14ac:dyDescent="0.25">
      <c r="A661" s="63" t="s">
        <v>40</v>
      </c>
      <c r="B661" s="71" t="s">
        <v>1346</v>
      </c>
      <c r="C661" s="2">
        <v>4099854308079</v>
      </c>
      <c r="D661" s="93"/>
      <c r="E661" s="61"/>
      <c r="G661" s="156" t="str">
        <f>HYPERLINK("https://ledvance.com/pt/product-datasheet/281910/307085","Ficha Técnica")</f>
        <v>Ficha Técnica</v>
      </c>
      <c r="H661" s="15">
        <v>4</v>
      </c>
      <c r="I661" s="163"/>
      <c r="J661" s="15"/>
      <c r="K661" s="163"/>
      <c r="L661" s="15">
        <v>2</v>
      </c>
      <c r="M661" s="188">
        <v>119.6</v>
      </c>
      <c r="N661" s="169" t="s">
        <v>11</v>
      </c>
    </row>
    <row r="662" spans="1:14" x14ac:dyDescent="0.25">
      <c r="A662" s="63" t="s">
        <v>40</v>
      </c>
      <c r="B662" s="71" t="s">
        <v>208</v>
      </c>
      <c r="C662" s="2">
        <v>4099854214882</v>
      </c>
      <c r="D662" s="93"/>
      <c r="E662" s="61"/>
      <c r="F662" s="16"/>
      <c r="G662" s="156" t="str">
        <f>HYPERLINK("https://ledvance.com/pt/product-datasheet/281911/278973","Ficha Técnica")</f>
        <v>Ficha Técnica</v>
      </c>
      <c r="H662" s="15">
        <v>2</v>
      </c>
      <c r="I662" s="163"/>
      <c r="J662" s="15"/>
      <c r="K662" s="163"/>
      <c r="L662" s="15">
        <v>2</v>
      </c>
      <c r="M662" s="188">
        <v>116.8</v>
      </c>
      <c r="N662" s="169" t="s">
        <v>11</v>
      </c>
    </row>
    <row r="663" spans="1:14" x14ac:dyDescent="0.25">
      <c r="A663" s="63" t="s">
        <v>40</v>
      </c>
      <c r="B663" s="71" t="s">
        <v>1349</v>
      </c>
      <c r="C663" s="2">
        <v>4099854297045</v>
      </c>
      <c r="D663" s="93"/>
      <c r="E663" s="61"/>
      <c r="G663" s="156" t="str">
        <f>HYPERLINK("https://ledvance.com/pt/product-datasheet/281911/303952","Ficha Técnica")</f>
        <v>Ficha Técnica</v>
      </c>
      <c r="H663" s="15">
        <v>2</v>
      </c>
      <c r="I663" s="163"/>
      <c r="J663" s="15"/>
      <c r="K663" s="163"/>
      <c r="L663" s="15">
        <v>2</v>
      </c>
      <c r="M663" s="188">
        <v>116.8</v>
      </c>
      <c r="N663" s="169" t="s">
        <v>11</v>
      </c>
    </row>
    <row r="664" spans="1:14" x14ac:dyDescent="0.25">
      <c r="A664" s="63" t="s">
        <v>40</v>
      </c>
      <c r="B664" s="71" t="s">
        <v>209</v>
      </c>
      <c r="C664" s="2">
        <v>4099854214868</v>
      </c>
      <c r="D664" s="93"/>
      <c r="E664" s="61"/>
      <c r="F664" s="16"/>
      <c r="G664" s="156" t="str">
        <f>HYPERLINK("https://ledvance.com/pt/product-datasheet/281911/278976","Ficha Técnica")</f>
        <v>Ficha Técnica</v>
      </c>
      <c r="H664" s="15">
        <v>2</v>
      </c>
      <c r="I664" s="163"/>
      <c r="J664" s="15"/>
      <c r="K664" s="163"/>
      <c r="L664" s="15">
        <v>2</v>
      </c>
      <c r="M664" s="188">
        <v>164.9</v>
      </c>
      <c r="N664" s="169" t="s">
        <v>11</v>
      </c>
    </row>
    <row r="665" spans="1:14" x14ac:dyDescent="0.25">
      <c r="A665" s="63" t="s">
        <v>40</v>
      </c>
      <c r="B665" s="71" t="s">
        <v>1347</v>
      </c>
      <c r="C665" s="2">
        <v>4099854297007</v>
      </c>
      <c r="D665" s="93"/>
      <c r="E665" s="61"/>
      <c r="G665" s="156" t="str">
        <f>HYPERLINK("https://ledvance.com/pt/product-datasheet/281911/303955","Ficha Técnica")</f>
        <v>Ficha Técnica</v>
      </c>
      <c r="H665" s="15">
        <v>2</v>
      </c>
      <c r="I665" s="163"/>
      <c r="J665" s="15"/>
      <c r="K665" s="163"/>
      <c r="L665" s="15">
        <v>2</v>
      </c>
      <c r="M665" s="188">
        <v>164.9</v>
      </c>
      <c r="N665" s="169" t="s">
        <v>11</v>
      </c>
    </row>
    <row r="666" spans="1:14" x14ac:dyDescent="0.25">
      <c r="A666" s="63" t="s">
        <v>40</v>
      </c>
      <c r="B666" s="71" t="s">
        <v>210</v>
      </c>
      <c r="C666" s="2">
        <v>4099854214844</v>
      </c>
      <c r="D666" s="93"/>
      <c r="E666" s="61"/>
      <c r="F666" s="16"/>
      <c r="G666" s="156" t="str">
        <f>HYPERLINK("https://ledvance.com/pt/product-datasheet/281911/278979","Ficha Técnica")</f>
        <v>Ficha Técnica</v>
      </c>
      <c r="H666" s="15">
        <v>2</v>
      </c>
      <c r="I666" s="163"/>
      <c r="J666" s="15"/>
      <c r="K666" s="163"/>
      <c r="L666" s="15">
        <v>2</v>
      </c>
      <c r="M666" s="188">
        <v>177.3</v>
      </c>
      <c r="N666" s="169" t="s">
        <v>11</v>
      </c>
    </row>
    <row r="667" spans="1:14" x14ac:dyDescent="0.25">
      <c r="A667" s="63" t="s">
        <v>40</v>
      </c>
      <c r="B667" s="71" t="s">
        <v>1348</v>
      </c>
      <c r="C667" s="2">
        <v>4099854297021</v>
      </c>
      <c r="D667" s="93"/>
      <c r="E667" s="61"/>
      <c r="G667" s="156" t="str">
        <f>HYPERLINK("https://ledvance.com/pt/product-datasheet/281911/303958","Ficha Técnica")</f>
        <v>Ficha Técnica</v>
      </c>
      <c r="H667" s="15">
        <v>2</v>
      </c>
      <c r="I667" s="163"/>
      <c r="J667" s="15"/>
      <c r="K667" s="163"/>
      <c r="L667" s="15">
        <v>2</v>
      </c>
      <c r="M667" s="188">
        <v>177.3</v>
      </c>
      <c r="N667" s="169" t="s">
        <v>11</v>
      </c>
    </row>
    <row r="668" spans="1:14" x14ac:dyDescent="0.25">
      <c r="A668" s="63" t="s">
        <v>40</v>
      </c>
      <c r="B668" s="71" t="s">
        <v>1978</v>
      </c>
      <c r="C668" s="2">
        <v>4099854214820</v>
      </c>
      <c r="D668" s="95">
        <v>4058075158016</v>
      </c>
      <c r="E668" s="102" t="s">
        <v>1979</v>
      </c>
      <c r="F668" s="16"/>
      <c r="G668" s="156" t="str">
        <f>HYPERLINK("https://ledvance.com/pt/product-datasheet/281908/278982","Ficha Técnica")</f>
        <v>Ficha Técnica</v>
      </c>
      <c r="H668" s="15">
        <v>64</v>
      </c>
      <c r="I668" s="163"/>
      <c r="J668" s="15"/>
      <c r="K668" s="163"/>
      <c r="L668" s="15">
        <v>2</v>
      </c>
      <c r="M668" s="188">
        <v>28.9</v>
      </c>
      <c r="N668" s="169" t="s">
        <v>11</v>
      </c>
    </row>
    <row r="669" spans="1:14" x14ac:dyDescent="0.25">
      <c r="A669" s="63" t="s">
        <v>40</v>
      </c>
      <c r="B669" s="71" t="s">
        <v>1980</v>
      </c>
      <c r="C669" s="2">
        <v>4099854214806</v>
      </c>
      <c r="D669" s="95">
        <v>4058075157996</v>
      </c>
      <c r="E669" s="102" t="s">
        <v>1981</v>
      </c>
      <c r="F669" s="16"/>
      <c r="G669" s="156" t="str">
        <f>HYPERLINK("https://ledvance.com/pt/product-datasheet/281908/278985","Ficha Técnica")</f>
        <v>Ficha Técnica</v>
      </c>
      <c r="H669" s="15">
        <v>64</v>
      </c>
      <c r="I669" s="163"/>
      <c r="J669" s="15"/>
      <c r="K669" s="163"/>
      <c r="L669" s="15">
        <v>2</v>
      </c>
      <c r="M669" s="188">
        <v>31.3</v>
      </c>
      <c r="N669" s="169" t="s">
        <v>11</v>
      </c>
    </row>
    <row r="670" spans="1:14" x14ac:dyDescent="0.25">
      <c r="A670" s="66" t="s">
        <v>8</v>
      </c>
      <c r="B670" s="69" t="s">
        <v>211</v>
      </c>
      <c r="C670" s="51"/>
      <c r="D670" s="65"/>
      <c r="E670" s="86"/>
      <c r="F670" s="12"/>
      <c r="G670" s="157"/>
      <c r="H670" s="12"/>
      <c r="I670" s="62"/>
      <c r="J670" s="27"/>
      <c r="K670" s="62"/>
      <c r="L670" s="12"/>
      <c r="M670" s="191"/>
      <c r="N670" s="65"/>
    </row>
    <row r="671" spans="1:14" x14ac:dyDescent="0.25">
      <c r="A671" s="63" t="s">
        <v>8</v>
      </c>
      <c r="B671" s="71" t="s">
        <v>2609</v>
      </c>
      <c r="C671" s="2">
        <v>4099854296192</v>
      </c>
      <c r="D671" s="95" t="s">
        <v>1966</v>
      </c>
      <c r="E671" s="102" t="s">
        <v>2610</v>
      </c>
      <c r="G671" s="156" t="str">
        <f>HYPERLINK("https://ledvance.com/pt/product-datasheet/304711/303439","Ficha Técnica")</f>
        <v>Ficha Técnica</v>
      </c>
      <c r="H671" s="15">
        <v>6</v>
      </c>
      <c r="I671" s="163" t="s">
        <v>1753</v>
      </c>
      <c r="J671" s="15" t="s">
        <v>1754</v>
      </c>
      <c r="K671" s="163" t="s">
        <v>46</v>
      </c>
      <c r="L671" s="15">
        <v>5</v>
      </c>
      <c r="M671" s="188">
        <v>62.5</v>
      </c>
      <c r="N671" s="169" t="s">
        <v>11</v>
      </c>
    </row>
    <row r="672" spans="1:14" x14ac:dyDescent="0.25">
      <c r="A672" s="63" t="s">
        <v>8</v>
      </c>
      <c r="B672" s="71" t="s">
        <v>2611</v>
      </c>
      <c r="C672" s="2">
        <v>4099854296215</v>
      </c>
      <c r="D672" s="95" t="s">
        <v>1967</v>
      </c>
      <c r="E672" s="102" t="s">
        <v>2612</v>
      </c>
      <c r="F672" s="15"/>
      <c r="G672" s="156" t="str">
        <f>HYPERLINK("https://ledvance.com/pt/product-datasheet/304711/303442","Ficha Técnica")</f>
        <v>Ficha Técnica</v>
      </c>
      <c r="H672" s="15">
        <v>6</v>
      </c>
      <c r="I672" s="163" t="s">
        <v>1755</v>
      </c>
      <c r="J672" s="15" t="s">
        <v>1756</v>
      </c>
      <c r="K672" s="163" t="s">
        <v>46</v>
      </c>
      <c r="L672" s="15">
        <v>5</v>
      </c>
      <c r="M672" s="188">
        <v>79.400000000000006</v>
      </c>
      <c r="N672" s="169" t="s">
        <v>11</v>
      </c>
    </row>
    <row r="673" spans="1:14" x14ac:dyDescent="0.25">
      <c r="A673" s="66" t="s">
        <v>8</v>
      </c>
      <c r="B673" s="69" t="s">
        <v>212</v>
      </c>
      <c r="C673" s="51"/>
      <c r="D673" s="65"/>
      <c r="E673" s="86"/>
      <c r="F673" s="12"/>
      <c r="G673" s="157"/>
      <c r="H673" s="12"/>
      <c r="I673" s="62"/>
      <c r="J673" s="27"/>
      <c r="K673" s="62"/>
      <c r="L673" s="12"/>
      <c r="M673" s="191"/>
      <c r="N673" s="65"/>
    </row>
    <row r="674" spans="1:14" x14ac:dyDescent="0.25">
      <c r="A674" s="63" t="s">
        <v>8</v>
      </c>
      <c r="B674" s="71" t="s">
        <v>2613</v>
      </c>
      <c r="C674" s="2">
        <v>4058075850453</v>
      </c>
      <c r="D674" s="95" t="s">
        <v>2210</v>
      </c>
      <c r="E674" s="102" t="s">
        <v>2614</v>
      </c>
      <c r="F674" s="14"/>
      <c r="G674" s="156" t="str">
        <f>HYPERLINK("","Ficha Técnica")</f>
        <v>Ficha Técnica</v>
      </c>
      <c r="H674" s="58" t="s">
        <v>2100</v>
      </c>
      <c r="I674" s="164" t="s">
        <v>3998</v>
      </c>
      <c r="J674" s="206" t="s">
        <v>3973</v>
      </c>
      <c r="K674" s="164" t="s">
        <v>46</v>
      </c>
      <c r="L674" s="58">
        <v>5</v>
      </c>
      <c r="M674" s="188">
        <v>200.7</v>
      </c>
      <c r="N674" s="169" t="s">
        <v>11</v>
      </c>
    </row>
    <row r="675" spans="1:14" x14ac:dyDescent="0.25">
      <c r="A675" s="63" t="s">
        <v>8</v>
      </c>
      <c r="B675" s="71" t="s">
        <v>2615</v>
      </c>
      <c r="C675" s="2">
        <v>4058075850477</v>
      </c>
      <c r="D675" s="95" t="s">
        <v>2045</v>
      </c>
      <c r="E675" s="102" t="s">
        <v>2616</v>
      </c>
      <c r="F675" s="14"/>
      <c r="G675" s="156" t="str">
        <f>HYPERLINK("","Ficha Técnica")</f>
        <v>Ficha Técnica</v>
      </c>
      <c r="H675" s="58" t="s">
        <v>2100</v>
      </c>
      <c r="I675" s="164" t="s">
        <v>3999</v>
      </c>
      <c r="J675" s="206" t="s">
        <v>3974</v>
      </c>
      <c r="K675" s="164" t="s">
        <v>46</v>
      </c>
      <c r="L675" s="58">
        <v>5</v>
      </c>
      <c r="M675" s="188">
        <v>207.2</v>
      </c>
      <c r="N675" s="169" t="s">
        <v>11</v>
      </c>
    </row>
    <row r="676" spans="1:14" x14ac:dyDescent="0.25">
      <c r="A676" s="66" t="s">
        <v>8</v>
      </c>
      <c r="B676" s="69" t="s">
        <v>2107</v>
      </c>
      <c r="C676" s="20"/>
      <c r="D676" s="65"/>
      <c r="E676" s="86"/>
      <c r="F676" s="12"/>
      <c r="G676" s="157"/>
      <c r="H676" s="12"/>
      <c r="I676" s="62"/>
      <c r="J676" s="27"/>
      <c r="K676" s="62"/>
      <c r="L676" s="12"/>
      <c r="M676" s="191"/>
      <c r="N676" s="65"/>
    </row>
    <row r="677" spans="1:14" x14ac:dyDescent="0.25">
      <c r="A677" s="63" t="s">
        <v>8</v>
      </c>
      <c r="B677" s="71" t="s">
        <v>2617</v>
      </c>
      <c r="C677" s="59">
        <v>4099854228292</v>
      </c>
      <c r="D677" s="93"/>
      <c r="E677" s="87"/>
      <c r="F677" s="16"/>
      <c r="G677" s="156" t="str">
        <f>HYPERLINK("https://ledvance.com/pt/product-datasheet/311688/282902","Ficha Técnica")</f>
        <v>Ficha Técnica</v>
      </c>
      <c r="H677" s="15" t="s">
        <v>2100</v>
      </c>
      <c r="I677" s="163">
        <v>6000</v>
      </c>
      <c r="J677" s="15">
        <v>40</v>
      </c>
      <c r="K677" s="163" t="s">
        <v>317</v>
      </c>
      <c r="L677" s="15">
        <v>5</v>
      </c>
      <c r="M677" s="192">
        <v>60</v>
      </c>
      <c r="N677" s="170" t="s">
        <v>11</v>
      </c>
    </row>
    <row r="678" spans="1:14" x14ac:dyDescent="0.25">
      <c r="A678" s="63" t="s">
        <v>8</v>
      </c>
      <c r="B678" s="71" t="s">
        <v>2618</v>
      </c>
      <c r="C678" s="59">
        <v>4099854228315</v>
      </c>
      <c r="D678" s="93"/>
      <c r="E678" s="87"/>
      <c r="F678" s="16"/>
      <c r="G678" s="156" t="str">
        <f>HYPERLINK("https://ledvance.com/pt/product-datasheet/311688/282905","Ficha Técnica")</f>
        <v>Ficha Técnica</v>
      </c>
      <c r="H678" s="15" t="s">
        <v>2100</v>
      </c>
      <c r="I678" s="163">
        <v>9000</v>
      </c>
      <c r="J678" s="15">
        <v>60</v>
      </c>
      <c r="K678" s="163" t="s">
        <v>317</v>
      </c>
      <c r="L678" s="15">
        <v>5</v>
      </c>
      <c r="M678" s="192">
        <v>73.7</v>
      </c>
      <c r="N678" s="170" t="s">
        <v>11</v>
      </c>
    </row>
    <row r="679" spans="1:14" x14ac:dyDescent="0.25">
      <c r="A679" s="63" t="s">
        <v>8</v>
      </c>
      <c r="B679" s="71" t="s">
        <v>2619</v>
      </c>
      <c r="C679" s="59">
        <v>4099854228377</v>
      </c>
      <c r="D679" s="93"/>
      <c r="E679" s="87"/>
      <c r="F679" s="16"/>
      <c r="G679" s="156" t="str">
        <f>HYPERLINK("https://ledvance.com/pt/product-datasheet/311688/282929","Ficha Técnica")</f>
        <v>Ficha Técnica</v>
      </c>
      <c r="H679" s="15" t="s">
        <v>2100</v>
      </c>
      <c r="I679" s="163">
        <v>6000</v>
      </c>
      <c r="J679" s="15">
        <v>40</v>
      </c>
      <c r="K679" s="163" t="s">
        <v>317</v>
      </c>
      <c r="L679" s="15">
        <v>5</v>
      </c>
      <c r="M679" s="192">
        <v>85.7</v>
      </c>
      <c r="N679" s="170" t="s">
        <v>11</v>
      </c>
    </row>
    <row r="680" spans="1:14" x14ac:dyDescent="0.25">
      <c r="A680" s="63" t="s">
        <v>8</v>
      </c>
      <c r="B680" s="71" t="s">
        <v>2620</v>
      </c>
      <c r="C680" s="59">
        <v>4099854228391</v>
      </c>
      <c r="D680" s="93"/>
      <c r="E680" s="87"/>
      <c r="F680" s="16"/>
      <c r="G680" s="156" t="str">
        <f>HYPERLINK("https://ledvance.com/pt/product-datasheet/311688/282932","Ficha Técnica")</f>
        <v>Ficha Técnica</v>
      </c>
      <c r="H680" s="15" t="s">
        <v>2100</v>
      </c>
      <c r="I680" s="163">
        <v>9000</v>
      </c>
      <c r="J680" s="15">
        <v>60</v>
      </c>
      <c r="K680" s="163" t="s">
        <v>317</v>
      </c>
      <c r="L680" s="15">
        <v>5</v>
      </c>
      <c r="M680" s="192">
        <v>99.4</v>
      </c>
      <c r="N680" s="170" t="s">
        <v>11</v>
      </c>
    </row>
    <row r="681" spans="1:14" x14ac:dyDescent="0.25">
      <c r="A681" s="63" t="s">
        <v>8</v>
      </c>
      <c r="B681" s="71" t="s">
        <v>2621</v>
      </c>
      <c r="C681" s="59">
        <v>4099854228339</v>
      </c>
      <c r="D681" s="93"/>
      <c r="E681" s="87"/>
      <c r="F681" s="16"/>
      <c r="G681" s="156" t="str">
        <f>HYPERLINK("https://ledvance.com/pt/product-datasheet/311688/282908","Ficha Técnica")</f>
        <v>Ficha Técnica</v>
      </c>
      <c r="H681" s="15" t="s">
        <v>2100</v>
      </c>
      <c r="I681" s="163">
        <v>6000</v>
      </c>
      <c r="J681" s="15">
        <v>40</v>
      </c>
      <c r="K681" s="163" t="s">
        <v>317</v>
      </c>
      <c r="L681" s="15">
        <v>5</v>
      </c>
      <c r="M681" s="192">
        <v>101</v>
      </c>
      <c r="N681" s="170" t="s">
        <v>11</v>
      </c>
    </row>
    <row r="682" spans="1:14" x14ac:dyDescent="0.25">
      <c r="A682" s="63" t="s">
        <v>8</v>
      </c>
      <c r="B682" s="71" t="s">
        <v>2622</v>
      </c>
      <c r="C682" s="59">
        <v>4099854228353</v>
      </c>
      <c r="D682" s="93"/>
      <c r="E682" s="87"/>
      <c r="F682" s="16"/>
      <c r="G682" s="156" t="str">
        <f>HYPERLINK("https://ledvance.com/pt/product-datasheet/311688/282911","Ficha Técnica")</f>
        <v>Ficha Técnica</v>
      </c>
      <c r="H682" s="15" t="s">
        <v>2100</v>
      </c>
      <c r="I682" s="163">
        <v>9000</v>
      </c>
      <c r="J682" s="15">
        <v>60</v>
      </c>
      <c r="K682" s="163" t="s">
        <v>317</v>
      </c>
      <c r="L682" s="15">
        <v>5</v>
      </c>
      <c r="M682" s="192">
        <v>119.9</v>
      </c>
      <c r="N682" s="170" t="s">
        <v>11</v>
      </c>
    </row>
    <row r="683" spans="1:14" x14ac:dyDescent="0.25">
      <c r="A683" s="66" t="s">
        <v>8</v>
      </c>
      <c r="B683" s="69" t="s">
        <v>2094</v>
      </c>
      <c r="C683" s="19"/>
      <c r="D683" s="65"/>
      <c r="E683" s="86"/>
      <c r="F683" s="12"/>
      <c r="G683" s="157"/>
      <c r="H683" s="12"/>
      <c r="I683" s="62"/>
      <c r="J683" s="27"/>
      <c r="K683" s="62"/>
      <c r="L683" s="12"/>
      <c r="M683" s="191"/>
      <c r="N683" s="65"/>
    </row>
    <row r="684" spans="1:14" x14ac:dyDescent="0.25">
      <c r="A684" s="63" t="s">
        <v>8</v>
      </c>
      <c r="B684" s="71" t="s">
        <v>2623</v>
      </c>
      <c r="C684" s="59">
        <v>4058075733152</v>
      </c>
      <c r="D684" s="84"/>
      <c r="E684" s="85"/>
      <c r="F684" s="16"/>
      <c r="G684" s="156" t="str">
        <f>HYPERLINK("https://ledvance.com/pt/product-datasheet/221846/196566","Ficha Técnica")</f>
        <v>Ficha Técnica</v>
      </c>
      <c r="H684" s="15">
        <v>4</v>
      </c>
      <c r="I684" s="163">
        <v>2250</v>
      </c>
      <c r="J684" s="15">
        <v>18</v>
      </c>
      <c r="K684" s="163" t="s">
        <v>38</v>
      </c>
      <c r="L684" s="15">
        <v>5</v>
      </c>
      <c r="M684" s="188">
        <v>101.8</v>
      </c>
      <c r="N684" s="169" t="s">
        <v>11</v>
      </c>
    </row>
    <row r="685" spans="1:14" x14ac:dyDescent="0.25">
      <c r="A685" s="63" t="s">
        <v>8</v>
      </c>
      <c r="B685" s="71" t="s">
        <v>2624</v>
      </c>
      <c r="C685" s="59">
        <v>4058075733091</v>
      </c>
      <c r="D685" s="84"/>
      <c r="E685" s="85"/>
      <c r="F685" s="16"/>
      <c r="G685" s="156" t="str">
        <f>HYPERLINK("https://ledvance.com/pt/product-datasheet/221846/196557","Ficha Técnica")</f>
        <v>Ficha Técnica</v>
      </c>
      <c r="H685" s="15">
        <v>4</v>
      </c>
      <c r="I685" s="163">
        <v>2430</v>
      </c>
      <c r="J685" s="15">
        <v>18</v>
      </c>
      <c r="K685" s="163" t="s">
        <v>38</v>
      </c>
      <c r="L685" s="15">
        <v>5</v>
      </c>
      <c r="M685" s="188">
        <v>101.8</v>
      </c>
      <c r="N685" s="169" t="s">
        <v>11</v>
      </c>
    </row>
    <row r="686" spans="1:14" x14ac:dyDescent="0.25">
      <c r="A686" s="63" t="s">
        <v>8</v>
      </c>
      <c r="B686" s="71" t="s">
        <v>2625</v>
      </c>
      <c r="C686" s="59">
        <v>4058075733176</v>
      </c>
      <c r="D686" s="84"/>
      <c r="E686" s="85"/>
      <c r="F686" s="16"/>
      <c r="G686" s="156" t="str">
        <f>HYPERLINK("https://ledvance.com/pt/product-datasheet/221846/196569","Ficha Técnica")</f>
        <v>Ficha Técnica</v>
      </c>
      <c r="H686" s="15">
        <v>4</v>
      </c>
      <c r="I686" s="163">
        <v>4160</v>
      </c>
      <c r="J686" s="15">
        <v>32</v>
      </c>
      <c r="K686" s="163" t="s">
        <v>38</v>
      </c>
      <c r="L686" s="15">
        <v>5</v>
      </c>
      <c r="M686" s="188">
        <v>144.30000000000001</v>
      </c>
      <c r="N686" s="169" t="s">
        <v>11</v>
      </c>
    </row>
    <row r="687" spans="1:14" x14ac:dyDescent="0.25">
      <c r="A687" s="63" t="s">
        <v>8</v>
      </c>
      <c r="B687" s="71" t="s">
        <v>2626</v>
      </c>
      <c r="C687" s="59">
        <v>4058075733114</v>
      </c>
      <c r="D687" s="84"/>
      <c r="E687" s="85"/>
      <c r="F687" s="16"/>
      <c r="G687" s="156" t="str">
        <f>HYPERLINK("https://ledvance.com/pt/product-datasheet/221846/196560","Ficha Técnica")</f>
        <v>Ficha Técnica</v>
      </c>
      <c r="H687" s="15">
        <v>4</v>
      </c>
      <c r="I687" s="163">
        <v>4384</v>
      </c>
      <c r="J687" s="15">
        <v>32</v>
      </c>
      <c r="K687" s="163" t="s">
        <v>38</v>
      </c>
      <c r="L687" s="15">
        <v>5</v>
      </c>
      <c r="M687" s="188">
        <v>144.30000000000001</v>
      </c>
      <c r="N687" s="169" t="s">
        <v>11</v>
      </c>
    </row>
    <row r="688" spans="1:14" x14ac:dyDescent="0.25">
      <c r="A688" s="63" t="s">
        <v>8</v>
      </c>
      <c r="B688" s="71" t="s">
        <v>2627</v>
      </c>
      <c r="C688" s="59">
        <v>4058075733190</v>
      </c>
      <c r="D688" s="84"/>
      <c r="E688" s="85"/>
      <c r="F688" s="16"/>
      <c r="G688" s="156" t="str">
        <f>HYPERLINK("https://ledvance.com/pt/product-datasheet/221846/196572","Ficha Técnica")</f>
        <v>Ficha Técnica</v>
      </c>
      <c r="H688" s="15">
        <v>4</v>
      </c>
      <c r="I688" s="163">
        <v>5850</v>
      </c>
      <c r="J688" s="15">
        <v>45</v>
      </c>
      <c r="K688" s="163" t="s">
        <v>38</v>
      </c>
      <c r="L688" s="15">
        <v>5</v>
      </c>
      <c r="M688" s="188">
        <v>179.7</v>
      </c>
      <c r="N688" s="169" t="s">
        <v>11</v>
      </c>
    </row>
    <row r="689" spans="1:14" x14ac:dyDescent="0.25">
      <c r="A689" s="63" t="s">
        <v>8</v>
      </c>
      <c r="B689" s="71" t="s">
        <v>2628</v>
      </c>
      <c r="C689" s="59">
        <v>4058075733138</v>
      </c>
      <c r="D689" s="84"/>
      <c r="E689" s="85"/>
      <c r="F689" s="16"/>
      <c r="G689" s="156" t="str">
        <f>HYPERLINK("https://ledvance.com/pt/product-datasheet/221846/196563","Ficha Técnica")</f>
        <v>Ficha Técnica</v>
      </c>
      <c r="H689" s="15">
        <v>4</v>
      </c>
      <c r="I689" s="163">
        <v>6165</v>
      </c>
      <c r="J689" s="15">
        <v>45</v>
      </c>
      <c r="K689" s="163" t="s">
        <v>38</v>
      </c>
      <c r="L689" s="15">
        <v>5</v>
      </c>
      <c r="M689" s="188">
        <v>179.7</v>
      </c>
      <c r="N689" s="169" t="s">
        <v>11</v>
      </c>
    </row>
    <row r="690" spans="1:14" x14ac:dyDescent="0.25">
      <c r="A690" s="66" t="s">
        <v>8</v>
      </c>
      <c r="B690" s="69" t="s">
        <v>2095</v>
      </c>
      <c r="C690" s="19"/>
      <c r="D690" s="65"/>
      <c r="E690" s="86"/>
      <c r="F690" s="12"/>
      <c r="G690" s="157"/>
      <c r="H690" s="12"/>
      <c r="I690" s="62"/>
      <c r="J690" s="27"/>
      <c r="K690" s="62"/>
      <c r="L690" s="12"/>
      <c r="M690" s="191"/>
      <c r="N690" s="65"/>
    </row>
    <row r="691" spans="1:14" x14ac:dyDescent="0.25">
      <c r="A691" s="63" t="s">
        <v>8</v>
      </c>
      <c r="B691" s="71" t="s">
        <v>2629</v>
      </c>
      <c r="C691" s="59">
        <v>4058075733398</v>
      </c>
      <c r="D691" s="84"/>
      <c r="E691" s="85"/>
      <c r="F691" s="16"/>
      <c r="G691" s="156" t="str">
        <f>HYPERLINK("https://ledvance.com/pt/product-datasheet/221847/196602","Ficha Técnica")</f>
        <v>Ficha Técnica</v>
      </c>
      <c r="H691" s="15">
        <v>4</v>
      </c>
      <c r="I691" s="163">
        <v>2340</v>
      </c>
      <c r="J691" s="15">
        <v>18</v>
      </c>
      <c r="K691" s="163" t="s">
        <v>38</v>
      </c>
      <c r="L691" s="15">
        <v>5</v>
      </c>
      <c r="M691" s="188">
        <v>136</v>
      </c>
      <c r="N691" s="169" t="s">
        <v>11</v>
      </c>
    </row>
    <row r="692" spans="1:14" x14ac:dyDescent="0.25">
      <c r="A692" s="63" t="s">
        <v>8</v>
      </c>
      <c r="B692" s="71" t="s">
        <v>2630</v>
      </c>
      <c r="C692" s="59">
        <v>4058075733336</v>
      </c>
      <c r="D692" s="84"/>
      <c r="E692" s="85"/>
      <c r="F692" s="16"/>
      <c r="G692" s="156" t="str">
        <f>HYPERLINK("https://ledvance.com/pt/product-datasheet/221847/196593","Ficha Técnica")</f>
        <v>Ficha Técnica</v>
      </c>
      <c r="H692" s="15">
        <v>4</v>
      </c>
      <c r="I692" s="163">
        <v>2466</v>
      </c>
      <c r="J692" s="15">
        <v>18</v>
      </c>
      <c r="K692" s="163" t="s">
        <v>38</v>
      </c>
      <c r="L692" s="15">
        <v>5</v>
      </c>
      <c r="M692" s="188">
        <v>136</v>
      </c>
      <c r="N692" s="169" t="s">
        <v>11</v>
      </c>
    </row>
    <row r="693" spans="1:14" x14ac:dyDescent="0.25">
      <c r="A693" s="63" t="s">
        <v>8</v>
      </c>
      <c r="B693" s="71" t="s">
        <v>2631</v>
      </c>
      <c r="C693" s="59">
        <v>4058075733411</v>
      </c>
      <c r="D693" s="84"/>
      <c r="E693" s="85"/>
      <c r="F693" s="16"/>
      <c r="G693" s="156" t="str">
        <f>HYPERLINK("https://ledvance.com/pt/product-datasheet/221847/196605","Ficha Técnica")</f>
        <v>Ficha Técnica</v>
      </c>
      <c r="H693" s="15">
        <v>4</v>
      </c>
      <c r="I693" s="163">
        <v>4160</v>
      </c>
      <c r="J693" s="15">
        <v>32</v>
      </c>
      <c r="K693" s="163" t="s">
        <v>38</v>
      </c>
      <c r="L693" s="15">
        <v>5</v>
      </c>
      <c r="M693" s="188">
        <v>193.8</v>
      </c>
      <c r="N693" s="169" t="s">
        <v>11</v>
      </c>
    </row>
    <row r="694" spans="1:14" x14ac:dyDescent="0.25">
      <c r="A694" s="63" t="s">
        <v>8</v>
      </c>
      <c r="B694" s="71" t="s">
        <v>2632</v>
      </c>
      <c r="C694" s="59">
        <v>4058075733350</v>
      </c>
      <c r="D694" s="84"/>
      <c r="E694" s="85"/>
      <c r="F694" s="16"/>
      <c r="G694" s="156" t="str">
        <f>HYPERLINK("https://ledvance.com/pt/product-datasheet/221847/196596","Ficha Técnica")</f>
        <v>Ficha Técnica</v>
      </c>
      <c r="H694" s="15">
        <v>4</v>
      </c>
      <c r="I694" s="163">
        <v>4384</v>
      </c>
      <c r="J694" s="15">
        <v>32</v>
      </c>
      <c r="K694" s="163" t="s">
        <v>38</v>
      </c>
      <c r="L694" s="15">
        <v>5</v>
      </c>
      <c r="M694" s="188">
        <v>193.8</v>
      </c>
      <c r="N694" s="169" t="s">
        <v>11</v>
      </c>
    </row>
    <row r="695" spans="1:14" x14ac:dyDescent="0.25">
      <c r="A695" s="63" t="s">
        <v>8</v>
      </c>
      <c r="B695" s="71" t="s">
        <v>2633</v>
      </c>
      <c r="C695" s="59">
        <v>4058075733435</v>
      </c>
      <c r="D695" s="84"/>
      <c r="E695" s="85"/>
      <c r="F695" s="16"/>
      <c r="G695" s="156" t="str">
        <f>HYPERLINK("https://ledvance.com/pt/product-datasheet/221847/196608","Ficha Técnica")</f>
        <v>Ficha Técnica</v>
      </c>
      <c r="H695" s="15">
        <v>4</v>
      </c>
      <c r="I695" s="163">
        <v>5850</v>
      </c>
      <c r="J695" s="15">
        <v>45</v>
      </c>
      <c r="K695" s="163" t="s">
        <v>38</v>
      </c>
      <c r="L695" s="15">
        <v>5</v>
      </c>
      <c r="M695" s="188">
        <v>228.9</v>
      </c>
      <c r="N695" s="169" t="s">
        <v>11</v>
      </c>
    </row>
    <row r="696" spans="1:14" x14ac:dyDescent="0.25">
      <c r="A696" s="63" t="s">
        <v>8</v>
      </c>
      <c r="B696" s="71" t="s">
        <v>2634</v>
      </c>
      <c r="C696" s="59">
        <v>4058075733374</v>
      </c>
      <c r="D696" s="84"/>
      <c r="E696" s="85"/>
      <c r="F696" s="16"/>
      <c r="G696" s="156" t="str">
        <f>HYPERLINK("https://ledvance.com/pt/product-datasheet/221847/196599","Ficha Técnica")</f>
        <v>Ficha Técnica</v>
      </c>
      <c r="H696" s="15">
        <v>4</v>
      </c>
      <c r="I696" s="163">
        <v>6165</v>
      </c>
      <c r="J696" s="15">
        <v>45</v>
      </c>
      <c r="K696" s="163" t="s">
        <v>38</v>
      </c>
      <c r="L696" s="15">
        <v>5</v>
      </c>
      <c r="M696" s="188">
        <v>228.9</v>
      </c>
      <c r="N696" s="169" t="s">
        <v>11</v>
      </c>
    </row>
    <row r="697" spans="1:14" x14ac:dyDescent="0.25">
      <c r="A697" s="66" t="s">
        <v>8</v>
      </c>
      <c r="B697" s="69" t="s">
        <v>2096</v>
      </c>
      <c r="C697" s="20"/>
      <c r="D697" s="65"/>
      <c r="E697" s="86"/>
      <c r="F697" s="12"/>
      <c r="G697" s="157"/>
      <c r="H697" s="12"/>
      <c r="I697" s="62"/>
      <c r="J697" s="27"/>
      <c r="K697" s="62"/>
      <c r="L697" s="12"/>
      <c r="M697" s="191"/>
      <c r="N697" s="65"/>
    </row>
    <row r="698" spans="1:14" x14ac:dyDescent="0.25">
      <c r="A698" s="63" t="s">
        <v>8</v>
      </c>
      <c r="B698" s="71" t="s">
        <v>2635</v>
      </c>
      <c r="C698" s="59">
        <v>4058075733275</v>
      </c>
      <c r="D698" s="84"/>
      <c r="E698" s="85"/>
      <c r="F698" s="16"/>
      <c r="G698" s="156" t="str">
        <f>HYPERLINK("https://ledvance.com/pt/product-datasheet/221848/196584","Ficha Técnica")</f>
        <v>Ficha Técnica</v>
      </c>
      <c r="H698" s="15">
        <v>4</v>
      </c>
      <c r="I698" s="163">
        <v>2250</v>
      </c>
      <c r="J698" s="15">
        <v>18</v>
      </c>
      <c r="K698" s="163" t="s">
        <v>38</v>
      </c>
      <c r="L698" s="15">
        <v>3</v>
      </c>
      <c r="M698" s="188">
        <v>227.1</v>
      </c>
      <c r="N698" s="169" t="s">
        <v>11</v>
      </c>
    </row>
    <row r="699" spans="1:14" x14ac:dyDescent="0.25">
      <c r="A699" s="63" t="s">
        <v>8</v>
      </c>
      <c r="B699" s="71" t="s">
        <v>2636</v>
      </c>
      <c r="C699" s="59">
        <v>4058075733213</v>
      </c>
      <c r="D699" s="84"/>
      <c r="E699" s="85"/>
      <c r="F699" s="16"/>
      <c r="G699" s="156" t="str">
        <f>HYPERLINK("https://ledvance.com/pt/product-datasheet/221848/196575","Ficha Técnica")</f>
        <v>Ficha Técnica</v>
      </c>
      <c r="H699" s="15">
        <v>4</v>
      </c>
      <c r="I699" s="163">
        <v>2430</v>
      </c>
      <c r="J699" s="15">
        <v>18</v>
      </c>
      <c r="K699" s="163" t="s">
        <v>38</v>
      </c>
      <c r="L699" s="15">
        <v>3</v>
      </c>
      <c r="M699" s="188">
        <v>227.1</v>
      </c>
      <c r="N699" s="169" t="s">
        <v>11</v>
      </c>
    </row>
    <row r="700" spans="1:14" x14ac:dyDescent="0.25">
      <c r="A700" s="63" t="s">
        <v>8</v>
      </c>
      <c r="B700" s="71" t="s">
        <v>2637</v>
      </c>
      <c r="C700" s="59">
        <v>4058075733299</v>
      </c>
      <c r="D700" s="84"/>
      <c r="E700" s="85"/>
      <c r="F700" s="16"/>
      <c r="G700" s="156" t="str">
        <f>HYPERLINK("https://ledvance.com/pt/product-datasheet/221848/196587","Ficha Técnica")</f>
        <v>Ficha Técnica</v>
      </c>
      <c r="H700" s="15">
        <v>4</v>
      </c>
      <c r="I700" s="163">
        <v>4160</v>
      </c>
      <c r="J700" s="15">
        <v>32</v>
      </c>
      <c r="K700" s="163" t="s">
        <v>38</v>
      </c>
      <c r="L700" s="15">
        <v>3</v>
      </c>
      <c r="M700" s="188">
        <v>265.60000000000002</v>
      </c>
      <c r="N700" s="169" t="s">
        <v>11</v>
      </c>
    </row>
    <row r="701" spans="1:14" x14ac:dyDescent="0.25">
      <c r="A701" s="63" t="s">
        <v>8</v>
      </c>
      <c r="B701" s="71" t="s">
        <v>2638</v>
      </c>
      <c r="C701" s="59">
        <v>4058075733237</v>
      </c>
      <c r="D701" s="84"/>
      <c r="E701" s="85"/>
      <c r="F701" s="16"/>
      <c r="G701" s="156" t="str">
        <f>HYPERLINK("https://ledvance.com/pt/product-datasheet/221848/196578","Ficha Técnica")</f>
        <v>Ficha Técnica</v>
      </c>
      <c r="H701" s="15">
        <v>4</v>
      </c>
      <c r="I701" s="163">
        <v>4384</v>
      </c>
      <c r="J701" s="15">
        <v>32</v>
      </c>
      <c r="K701" s="163" t="s">
        <v>38</v>
      </c>
      <c r="L701" s="15">
        <v>3</v>
      </c>
      <c r="M701" s="188">
        <v>265.60000000000002</v>
      </c>
      <c r="N701" s="169" t="s">
        <v>11</v>
      </c>
    </row>
    <row r="702" spans="1:14" x14ac:dyDescent="0.25">
      <c r="A702" s="63" t="s">
        <v>8</v>
      </c>
      <c r="B702" s="71" t="s">
        <v>2639</v>
      </c>
      <c r="C702" s="59">
        <v>4058075733312</v>
      </c>
      <c r="D702" s="84"/>
      <c r="E702" s="85"/>
      <c r="F702" s="16"/>
      <c r="G702" s="156" t="str">
        <f>HYPERLINK("https://ledvance.com/pt/product-datasheet/221848/196590","Ficha Técnica")</f>
        <v>Ficha Técnica</v>
      </c>
      <c r="H702" s="15">
        <v>4</v>
      </c>
      <c r="I702" s="163">
        <v>5850</v>
      </c>
      <c r="J702" s="15">
        <v>45</v>
      </c>
      <c r="K702" s="163" t="s">
        <v>38</v>
      </c>
      <c r="L702" s="15">
        <v>3</v>
      </c>
      <c r="M702" s="188">
        <v>276.89999999999998</v>
      </c>
      <c r="N702" s="169" t="s">
        <v>11</v>
      </c>
    </row>
    <row r="703" spans="1:14" x14ac:dyDescent="0.25">
      <c r="A703" s="63" t="s">
        <v>8</v>
      </c>
      <c r="B703" s="71" t="s">
        <v>2640</v>
      </c>
      <c r="C703" s="59">
        <v>4058075733251</v>
      </c>
      <c r="D703" s="84"/>
      <c r="E703" s="85"/>
      <c r="F703" s="16"/>
      <c r="G703" s="156" t="str">
        <f>HYPERLINK("https://ledvance.com/pt/product-datasheet/221848/196581","Ficha Técnica")</f>
        <v>Ficha Técnica</v>
      </c>
      <c r="H703" s="15">
        <v>4</v>
      </c>
      <c r="I703" s="163">
        <v>6165</v>
      </c>
      <c r="J703" s="15">
        <v>45</v>
      </c>
      <c r="K703" s="163" t="s">
        <v>38</v>
      </c>
      <c r="L703" s="15">
        <v>3</v>
      </c>
      <c r="M703" s="188">
        <v>276.89999999999998</v>
      </c>
      <c r="N703" s="169" t="s">
        <v>11</v>
      </c>
    </row>
    <row r="704" spans="1:14" x14ac:dyDescent="0.25">
      <c r="A704" s="66" t="s">
        <v>8</v>
      </c>
      <c r="B704" s="69" t="s">
        <v>213</v>
      </c>
      <c r="C704" s="20"/>
      <c r="D704" s="65"/>
      <c r="E704" s="86"/>
      <c r="F704" s="12"/>
      <c r="G704" s="157"/>
      <c r="H704" s="12"/>
      <c r="I704" s="62"/>
      <c r="J704" s="27"/>
      <c r="K704" s="62"/>
      <c r="L704" s="12"/>
      <c r="M704" s="191"/>
      <c r="N704" s="65"/>
    </row>
    <row r="705" spans="1:14" x14ac:dyDescent="0.25">
      <c r="A705" s="63" t="s">
        <v>8</v>
      </c>
      <c r="B705" s="71" t="s">
        <v>2641</v>
      </c>
      <c r="C705" s="59">
        <v>4058075106079</v>
      </c>
      <c r="D705" s="84"/>
      <c r="E705" s="85"/>
      <c r="F705" s="16"/>
      <c r="G705" s="156" t="str">
        <f>HYPERLINK("https://ledvance.com/pt/product-datasheet/8740/45608","Ficha Técnica")</f>
        <v>Ficha Técnica</v>
      </c>
      <c r="H705" s="15">
        <v>25</v>
      </c>
      <c r="I705" s="163">
        <v>400</v>
      </c>
      <c r="J705" s="15">
        <v>4</v>
      </c>
      <c r="K705" s="163" t="s">
        <v>46</v>
      </c>
      <c r="L705" s="15">
        <v>5</v>
      </c>
      <c r="M705" s="188">
        <v>12.9</v>
      </c>
      <c r="N705" s="169" t="s">
        <v>11</v>
      </c>
    </row>
    <row r="706" spans="1:14" x14ac:dyDescent="0.25">
      <c r="A706" s="63" t="s">
        <v>8</v>
      </c>
      <c r="B706" s="71" t="s">
        <v>2642</v>
      </c>
      <c r="C706" s="59">
        <v>4058075106093</v>
      </c>
      <c r="D706" s="84"/>
      <c r="E706" s="85"/>
      <c r="F706" s="16"/>
      <c r="G706" s="156" t="str">
        <f>HYPERLINK("https://ledvance.com/pt/product-datasheet/8740/45734","Ficha Técnica")</f>
        <v>Ficha Técnica</v>
      </c>
      <c r="H706" s="15">
        <v>25</v>
      </c>
      <c r="I706" s="163">
        <v>450</v>
      </c>
      <c r="J706" s="15">
        <v>4</v>
      </c>
      <c r="K706" s="163" t="s">
        <v>46</v>
      </c>
      <c r="L706" s="15">
        <v>5</v>
      </c>
      <c r="M706" s="188">
        <v>12.9</v>
      </c>
      <c r="N706" s="169" t="s">
        <v>11</v>
      </c>
    </row>
    <row r="707" spans="1:14" x14ac:dyDescent="0.25">
      <c r="A707" s="63" t="s">
        <v>8</v>
      </c>
      <c r="B707" s="71" t="s">
        <v>2643</v>
      </c>
      <c r="C707" s="59">
        <v>4058075106116</v>
      </c>
      <c r="D707" s="84"/>
      <c r="E707" s="85"/>
      <c r="F707" s="16"/>
      <c r="G707" s="156" t="str">
        <f>HYPERLINK("https://ledvance.com/pt/product-datasheet/8740/45414","Ficha Técnica")</f>
        <v>Ficha Técnica</v>
      </c>
      <c r="H707" s="15">
        <v>25</v>
      </c>
      <c r="I707" s="163">
        <v>800</v>
      </c>
      <c r="J707" s="15">
        <v>8</v>
      </c>
      <c r="K707" s="163" t="s">
        <v>46</v>
      </c>
      <c r="L707" s="15">
        <v>5</v>
      </c>
      <c r="M707" s="188">
        <v>15.6</v>
      </c>
      <c r="N707" s="169" t="s">
        <v>11</v>
      </c>
    </row>
    <row r="708" spans="1:14" x14ac:dyDescent="0.25">
      <c r="A708" s="63" t="s">
        <v>8</v>
      </c>
      <c r="B708" s="71" t="s">
        <v>2644</v>
      </c>
      <c r="C708" s="59">
        <v>4058075106130</v>
      </c>
      <c r="D708" s="84"/>
      <c r="E708" s="85"/>
      <c r="F708" s="16"/>
      <c r="G708" s="156" t="str">
        <f>HYPERLINK("https://ledvance.com/pt/product-datasheet/8740/45739","Ficha Técnica")</f>
        <v>Ficha Técnica</v>
      </c>
      <c r="H708" s="15">
        <v>25</v>
      </c>
      <c r="I708" s="163">
        <v>800</v>
      </c>
      <c r="J708" s="15">
        <v>8</v>
      </c>
      <c r="K708" s="163" t="s">
        <v>46</v>
      </c>
      <c r="L708" s="15">
        <v>5</v>
      </c>
      <c r="M708" s="188">
        <v>15.6</v>
      </c>
      <c r="N708" s="169" t="s">
        <v>11</v>
      </c>
    </row>
    <row r="709" spans="1:14" x14ac:dyDescent="0.25">
      <c r="A709" s="63" t="s">
        <v>8</v>
      </c>
      <c r="B709" s="71" t="s">
        <v>2645</v>
      </c>
      <c r="C709" s="59">
        <v>4058075106192</v>
      </c>
      <c r="D709" s="84"/>
      <c r="E709" s="85"/>
      <c r="F709" s="16"/>
      <c r="G709" s="156" t="str">
        <f>HYPERLINK("https://ledvance.com/pt/product-datasheet/8740/45742","Ficha Técnica")</f>
        <v>Ficha Técnica</v>
      </c>
      <c r="H709" s="15">
        <v>25</v>
      </c>
      <c r="I709" s="163">
        <v>1200</v>
      </c>
      <c r="J709" s="15">
        <v>12</v>
      </c>
      <c r="K709" s="163" t="s">
        <v>46</v>
      </c>
      <c r="L709" s="15">
        <v>5</v>
      </c>
      <c r="M709" s="188">
        <v>18.2</v>
      </c>
      <c r="N709" s="169" t="s">
        <v>11</v>
      </c>
    </row>
    <row r="710" spans="1:14" x14ac:dyDescent="0.25">
      <c r="A710" s="63" t="s">
        <v>8</v>
      </c>
      <c r="B710" s="71" t="s">
        <v>2646</v>
      </c>
      <c r="C710" s="59">
        <v>4058075106215</v>
      </c>
      <c r="D710" s="84"/>
      <c r="E710" s="85"/>
      <c r="F710" s="16"/>
      <c r="G710" s="156" t="str">
        <f>HYPERLINK("https://ledvance.com/pt/product-datasheet/8740/35518","Ficha Técnica")</f>
        <v>Ficha Técnica</v>
      </c>
      <c r="H710" s="15">
        <v>25</v>
      </c>
      <c r="I710" s="163">
        <v>1200</v>
      </c>
      <c r="J710" s="15">
        <v>12</v>
      </c>
      <c r="K710" s="163" t="s">
        <v>46</v>
      </c>
      <c r="L710" s="15">
        <v>5</v>
      </c>
      <c r="M710" s="188">
        <v>18.2</v>
      </c>
      <c r="N710" s="169" t="s">
        <v>11</v>
      </c>
    </row>
    <row r="711" spans="1:14" x14ac:dyDescent="0.25">
      <c r="A711" s="63" t="s">
        <v>8</v>
      </c>
      <c r="B711" s="71" t="s">
        <v>2647</v>
      </c>
      <c r="C711" s="59">
        <v>4058075106154</v>
      </c>
      <c r="D711" s="84"/>
      <c r="E711" s="85"/>
      <c r="F711" s="16"/>
      <c r="G711" s="156" t="str">
        <f>HYPERLINK("https://ledvance.com/pt/product-datasheet/8740/45745","Ficha Técnica")</f>
        <v>Ficha Técnica</v>
      </c>
      <c r="H711" s="15">
        <v>25</v>
      </c>
      <c r="I711" s="163">
        <v>1400</v>
      </c>
      <c r="J711" s="15">
        <v>14</v>
      </c>
      <c r="K711" s="163" t="s">
        <v>46</v>
      </c>
      <c r="L711" s="15">
        <v>5</v>
      </c>
      <c r="M711" s="188">
        <v>20.5</v>
      </c>
      <c r="N711" s="169" t="s">
        <v>11</v>
      </c>
    </row>
    <row r="712" spans="1:14" x14ac:dyDescent="0.25">
      <c r="A712" s="63" t="s">
        <v>8</v>
      </c>
      <c r="B712" s="71" t="s">
        <v>2648</v>
      </c>
      <c r="C712" s="59">
        <v>4058075106178</v>
      </c>
      <c r="D712" s="84"/>
      <c r="E712" s="85"/>
      <c r="F712" s="16"/>
      <c r="G712" s="156" t="str">
        <f>HYPERLINK("https://ledvance.com/pt/product-datasheet/8740/45748","Ficha Técnica")</f>
        <v>Ficha Técnica</v>
      </c>
      <c r="H712" s="15">
        <v>25</v>
      </c>
      <c r="I712" s="163">
        <v>1400</v>
      </c>
      <c r="J712" s="15">
        <v>14</v>
      </c>
      <c r="K712" s="163" t="s">
        <v>46</v>
      </c>
      <c r="L712" s="15">
        <v>5</v>
      </c>
      <c r="M712" s="188">
        <v>20.5</v>
      </c>
      <c r="N712" s="169" t="s">
        <v>11</v>
      </c>
    </row>
    <row r="713" spans="1:14" x14ac:dyDescent="0.25">
      <c r="A713" s="63" t="s">
        <v>8</v>
      </c>
      <c r="B713" s="71" t="s">
        <v>214</v>
      </c>
      <c r="C713" s="59">
        <v>4058075683341</v>
      </c>
      <c r="D713" s="84"/>
      <c r="E713" s="85"/>
      <c r="F713" s="16"/>
      <c r="G713" s="156" t="str">
        <f>HYPERLINK("https://ledvance.com/pt/product-datasheet/8740/171798","Ficha Técnica")</f>
        <v>Ficha Técnica</v>
      </c>
      <c r="H713" s="15">
        <v>25</v>
      </c>
      <c r="I713" s="163">
        <v>1800</v>
      </c>
      <c r="J713" s="15">
        <v>17</v>
      </c>
      <c r="K713" s="163" t="s">
        <v>46</v>
      </c>
      <c r="L713" s="15">
        <v>5</v>
      </c>
      <c r="M713" s="188">
        <v>33.4</v>
      </c>
      <c r="N713" s="169" t="s">
        <v>11</v>
      </c>
    </row>
    <row r="714" spans="1:14" x14ac:dyDescent="0.25">
      <c r="A714" s="63" t="s">
        <v>8</v>
      </c>
      <c r="B714" s="71" t="s">
        <v>215</v>
      </c>
      <c r="C714" s="59">
        <v>4058075683365</v>
      </c>
      <c r="D714" s="84"/>
      <c r="E714" s="85"/>
      <c r="F714" s="16"/>
      <c r="G714" s="156" t="str">
        <f>HYPERLINK("https://ledvance.com/pt/product-datasheet/8740/171801","Ficha Técnica")</f>
        <v>Ficha Técnica</v>
      </c>
      <c r="H714" s="15">
        <v>25</v>
      </c>
      <c r="I714" s="163">
        <v>1900</v>
      </c>
      <c r="J714" s="15">
        <v>17</v>
      </c>
      <c r="K714" s="163" t="s">
        <v>46</v>
      </c>
      <c r="L714" s="15">
        <v>5</v>
      </c>
      <c r="M714" s="188">
        <v>33.4</v>
      </c>
      <c r="N714" s="169" t="s">
        <v>11</v>
      </c>
    </row>
    <row r="715" spans="1:14" x14ac:dyDescent="0.25">
      <c r="A715" s="66" t="s">
        <v>8</v>
      </c>
      <c r="B715" s="69" t="s">
        <v>216</v>
      </c>
      <c r="C715" s="20"/>
      <c r="D715" s="65"/>
      <c r="E715" s="86"/>
      <c r="F715" s="12"/>
      <c r="G715" s="157"/>
      <c r="H715" s="12"/>
      <c r="I715" s="62"/>
      <c r="J715" s="27"/>
      <c r="K715" s="62"/>
      <c r="L715" s="12"/>
      <c r="M715" s="191"/>
      <c r="N715" s="65"/>
    </row>
    <row r="716" spans="1:14" x14ac:dyDescent="0.25">
      <c r="A716" s="63" t="s">
        <v>8</v>
      </c>
      <c r="B716" s="71" t="s">
        <v>2649</v>
      </c>
      <c r="C716" s="59">
        <v>4058075106277</v>
      </c>
      <c r="D716" s="84"/>
      <c r="E716" s="85"/>
      <c r="F716" s="16"/>
      <c r="G716" s="156" t="str">
        <f>HYPERLINK("https://ledvance.com/pt/product-datasheet/8741/45751","Ficha Técnica")</f>
        <v>Ficha Técnica</v>
      </c>
      <c r="H716" s="15">
        <v>25</v>
      </c>
      <c r="I716" s="163">
        <v>1000</v>
      </c>
      <c r="J716" s="15">
        <v>10</v>
      </c>
      <c r="K716" s="163" t="s">
        <v>46</v>
      </c>
      <c r="L716" s="15">
        <v>5</v>
      </c>
      <c r="M716" s="188">
        <v>26</v>
      </c>
      <c r="N716" s="169" t="s">
        <v>11</v>
      </c>
    </row>
    <row r="717" spans="1:14" x14ac:dyDescent="0.25">
      <c r="A717" s="63" t="s">
        <v>8</v>
      </c>
      <c r="B717" s="71" t="s">
        <v>2650</v>
      </c>
      <c r="C717" s="59">
        <v>4058075106291</v>
      </c>
      <c r="D717" s="84"/>
      <c r="E717" s="85"/>
      <c r="F717" s="16"/>
      <c r="G717" s="156" t="str">
        <f>HYPERLINK("https://ledvance.com/pt/product-datasheet/8741/45754","Ficha Técnica")</f>
        <v>Ficha Técnica</v>
      </c>
      <c r="H717" s="15">
        <v>25</v>
      </c>
      <c r="I717" s="163">
        <v>1000</v>
      </c>
      <c r="J717" s="15">
        <v>10</v>
      </c>
      <c r="K717" s="163" t="s">
        <v>46</v>
      </c>
      <c r="L717" s="15">
        <v>5</v>
      </c>
      <c r="M717" s="188">
        <v>26</v>
      </c>
      <c r="N717" s="169" t="s">
        <v>11</v>
      </c>
    </row>
    <row r="718" spans="1:14" x14ac:dyDescent="0.25">
      <c r="A718" s="63" t="s">
        <v>8</v>
      </c>
      <c r="B718" s="71" t="s">
        <v>2651</v>
      </c>
      <c r="C718" s="59">
        <v>4058075106239</v>
      </c>
      <c r="D718" s="84"/>
      <c r="E718" s="85"/>
      <c r="F718" s="16"/>
      <c r="G718" s="156" t="str">
        <f>HYPERLINK("https://ledvance.com/pt/product-datasheet/8741/45757","Ficha Técnica")</f>
        <v>Ficha Técnica</v>
      </c>
      <c r="H718" s="15">
        <v>25</v>
      </c>
      <c r="I718" s="163">
        <v>1500</v>
      </c>
      <c r="J718" s="15">
        <v>15</v>
      </c>
      <c r="K718" s="163" t="s">
        <v>46</v>
      </c>
      <c r="L718" s="15">
        <v>5</v>
      </c>
      <c r="M718" s="188">
        <v>28.4</v>
      </c>
      <c r="N718" s="169" t="s">
        <v>11</v>
      </c>
    </row>
    <row r="719" spans="1:14" x14ac:dyDescent="0.25">
      <c r="A719" s="63" t="s">
        <v>8</v>
      </c>
      <c r="B719" s="71" t="s">
        <v>2652</v>
      </c>
      <c r="C719" s="59">
        <v>4058075106253</v>
      </c>
      <c r="D719" s="84"/>
      <c r="E719" s="85"/>
      <c r="F719" s="16"/>
      <c r="G719" s="156" t="str">
        <f>HYPERLINK("https://ledvance.com/pt/product-datasheet/8741/45760","Ficha Técnica")</f>
        <v>Ficha Técnica</v>
      </c>
      <c r="H719" s="15">
        <v>25</v>
      </c>
      <c r="I719" s="163">
        <v>1500</v>
      </c>
      <c r="J719" s="15">
        <v>15</v>
      </c>
      <c r="K719" s="163" t="s">
        <v>46</v>
      </c>
      <c r="L719" s="15">
        <v>5</v>
      </c>
      <c r="M719" s="188">
        <v>28.4</v>
      </c>
      <c r="N719" s="169" t="s">
        <v>11</v>
      </c>
    </row>
    <row r="720" spans="1:14" x14ac:dyDescent="0.25">
      <c r="A720" s="63" t="s">
        <v>8</v>
      </c>
      <c r="B720" s="71" t="s">
        <v>2653</v>
      </c>
      <c r="C720" s="59">
        <v>4058075106314</v>
      </c>
      <c r="D720" s="84"/>
      <c r="E720" s="85"/>
      <c r="F720" s="16"/>
      <c r="G720" s="156" t="str">
        <f>HYPERLINK("https://ledvance.com/pt/product-datasheet/8741/45763","Ficha Técnica")</f>
        <v>Ficha Técnica</v>
      </c>
      <c r="H720" s="15">
        <v>25</v>
      </c>
      <c r="I720" s="163">
        <v>2000</v>
      </c>
      <c r="J720" s="15">
        <v>20</v>
      </c>
      <c r="K720" s="163" t="s">
        <v>46</v>
      </c>
      <c r="L720" s="15">
        <v>5</v>
      </c>
      <c r="M720" s="188">
        <v>32.9</v>
      </c>
      <c r="N720" s="169" t="s">
        <v>11</v>
      </c>
    </row>
    <row r="721" spans="1:14" x14ac:dyDescent="0.25">
      <c r="A721" s="63" t="s">
        <v>8</v>
      </c>
      <c r="B721" s="71" t="s">
        <v>2654</v>
      </c>
      <c r="C721" s="59">
        <v>4058075106338</v>
      </c>
      <c r="D721" s="84"/>
      <c r="E721" s="85"/>
      <c r="F721" s="16"/>
      <c r="G721" s="156" t="str">
        <f>HYPERLINK("https://ledvance.com/pt/product-datasheet/8741/45766","Ficha Técnica")</f>
        <v>Ficha Técnica</v>
      </c>
      <c r="H721" s="15">
        <v>25</v>
      </c>
      <c r="I721" s="163">
        <v>2000</v>
      </c>
      <c r="J721" s="15">
        <v>20</v>
      </c>
      <c r="K721" s="163" t="s">
        <v>46</v>
      </c>
      <c r="L721" s="15">
        <v>5</v>
      </c>
      <c r="M721" s="188">
        <v>32.9</v>
      </c>
      <c r="N721" s="169" t="s">
        <v>11</v>
      </c>
    </row>
    <row r="722" spans="1:14" x14ac:dyDescent="0.25">
      <c r="A722" s="63" t="s">
        <v>8</v>
      </c>
      <c r="B722" s="71" t="s">
        <v>2655</v>
      </c>
      <c r="C722" s="59">
        <v>4058075106352</v>
      </c>
      <c r="D722" s="84"/>
      <c r="E722" s="85"/>
      <c r="F722" s="16"/>
      <c r="G722" s="156" t="str">
        <f>HYPERLINK("https://ledvance.com/pt/product-datasheet/8741/45769","Ficha Técnica")</f>
        <v>Ficha Técnica</v>
      </c>
      <c r="H722" s="15">
        <v>25</v>
      </c>
      <c r="I722" s="163">
        <v>2500</v>
      </c>
      <c r="J722" s="15">
        <v>25</v>
      </c>
      <c r="K722" s="163" t="s">
        <v>46</v>
      </c>
      <c r="L722" s="15">
        <v>5</v>
      </c>
      <c r="M722" s="188">
        <v>36.299999999999997</v>
      </c>
      <c r="N722" s="169" t="s">
        <v>11</v>
      </c>
    </row>
    <row r="723" spans="1:14" x14ac:dyDescent="0.25">
      <c r="A723" s="63" t="s">
        <v>8</v>
      </c>
      <c r="B723" s="71" t="s">
        <v>2656</v>
      </c>
      <c r="C723" s="59">
        <v>4058075106376</v>
      </c>
      <c r="D723" s="84"/>
      <c r="E723" s="85"/>
      <c r="F723" s="16"/>
      <c r="G723" s="156" t="str">
        <f>HYPERLINK("https://ledvance.com/pt/product-datasheet/8741/45772","Ficha Técnica")</f>
        <v>Ficha Técnica</v>
      </c>
      <c r="H723" s="15">
        <v>25</v>
      </c>
      <c r="I723" s="163">
        <v>2500</v>
      </c>
      <c r="J723" s="15">
        <v>25</v>
      </c>
      <c r="K723" s="163" t="s">
        <v>46</v>
      </c>
      <c r="L723" s="15">
        <v>5</v>
      </c>
      <c r="M723" s="188">
        <v>36.299999999999997</v>
      </c>
      <c r="N723" s="169" t="s">
        <v>11</v>
      </c>
    </row>
    <row r="724" spans="1:14" x14ac:dyDescent="0.25">
      <c r="A724" s="66" t="s">
        <v>8</v>
      </c>
      <c r="B724" s="69" t="s">
        <v>217</v>
      </c>
      <c r="C724" s="20"/>
      <c r="D724" s="65"/>
      <c r="E724" s="86"/>
      <c r="F724" s="12"/>
      <c r="G724" s="157"/>
      <c r="H724" s="12"/>
      <c r="I724" s="62"/>
      <c r="J724" s="27"/>
      <c r="K724" s="62"/>
      <c r="L724" s="12"/>
      <c r="M724" s="191"/>
      <c r="N724" s="65"/>
    </row>
    <row r="725" spans="1:14" x14ac:dyDescent="0.25">
      <c r="A725" s="63" t="s">
        <v>8</v>
      </c>
      <c r="B725" s="71" t="s">
        <v>2657</v>
      </c>
      <c r="C725" s="59">
        <v>4058075099692</v>
      </c>
      <c r="D725" s="84"/>
      <c r="E725" s="85"/>
      <c r="F725" s="16"/>
      <c r="G725" s="156" t="str">
        <f>HYPERLINK("https://ledvance.com/pt/product-datasheet/8742/129284","Ficha Técnica")</f>
        <v>Ficha Técnica</v>
      </c>
      <c r="H725" s="15">
        <v>25</v>
      </c>
      <c r="I725" s="163">
        <v>1000</v>
      </c>
      <c r="J725" s="15">
        <v>10</v>
      </c>
      <c r="K725" s="163" t="s">
        <v>46</v>
      </c>
      <c r="L725" s="15">
        <v>5</v>
      </c>
      <c r="M725" s="188">
        <v>25.7</v>
      </c>
      <c r="N725" s="169" t="s">
        <v>11</v>
      </c>
    </row>
    <row r="726" spans="1:14" x14ac:dyDescent="0.25">
      <c r="A726" s="63" t="s">
        <v>8</v>
      </c>
      <c r="B726" s="71" t="s">
        <v>2658</v>
      </c>
      <c r="C726" s="59">
        <v>4058075099715</v>
      </c>
      <c r="D726" s="84"/>
      <c r="E726" s="85"/>
      <c r="F726" s="16"/>
      <c r="G726" s="156" t="str">
        <f>HYPERLINK("https://ledvance.com/pt/product-datasheet/8742/129288","Ficha Técnica")</f>
        <v>Ficha Técnica</v>
      </c>
      <c r="H726" s="15">
        <v>25</v>
      </c>
      <c r="I726" s="163">
        <v>1000</v>
      </c>
      <c r="J726" s="15">
        <v>10</v>
      </c>
      <c r="K726" s="163" t="s">
        <v>46</v>
      </c>
      <c r="L726" s="15">
        <v>5</v>
      </c>
      <c r="M726" s="192">
        <v>25.7</v>
      </c>
      <c r="N726" s="170" t="s">
        <v>11</v>
      </c>
    </row>
    <row r="727" spans="1:14" x14ac:dyDescent="0.25">
      <c r="A727" s="63" t="s">
        <v>8</v>
      </c>
      <c r="B727" s="71" t="s">
        <v>2659</v>
      </c>
      <c r="C727" s="59">
        <v>4058075099739</v>
      </c>
      <c r="D727" s="84"/>
      <c r="E727" s="85"/>
      <c r="F727" s="16"/>
      <c r="G727" s="156" t="str">
        <f>HYPERLINK("https://ledvance.com/pt/product-datasheet/8742/129292","Ficha Técnica")</f>
        <v>Ficha Técnica</v>
      </c>
      <c r="H727" s="15">
        <v>25</v>
      </c>
      <c r="I727" s="163">
        <v>2000</v>
      </c>
      <c r="J727" s="15">
        <v>20</v>
      </c>
      <c r="K727" s="163" t="s">
        <v>46</v>
      </c>
      <c r="L727" s="15">
        <v>5</v>
      </c>
      <c r="M727" s="188">
        <v>29.8</v>
      </c>
      <c r="N727" s="169" t="s">
        <v>11</v>
      </c>
    </row>
    <row r="728" spans="1:14" x14ac:dyDescent="0.25">
      <c r="A728" s="63" t="s">
        <v>8</v>
      </c>
      <c r="B728" s="71" t="s">
        <v>2660</v>
      </c>
      <c r="C728" s="59">
        <v>4058075099753</v>
      </c>
      <c r="D728" s="84"/>
      <c r="E728" s="85"/>
      <c r="F728" s="16"/>
      <c r="G728" s="156" t="str">
        <f>HYPERLINK("https://ledvance.com/pt/product-datasheet/8742/129296","Ficha Técnica")</f>
        <v>Ficha Técnica</v>
      </c>
      <c r="H728" s="15">
        <v>25</v>
      </c>
      <c r="I728" s="163">
        <v>2000</v>
      </c>
      <c r="J728" s="15">
        <v>20</v>
      </c>
      <c r="K728" s="163" t="s">
        <v>46</v>
      </c>
      <c r="L728" s="15">
        <v>5</v>
      </c>
      <c r="M728" s="188">
        <v>29.8</v>
      </c>
      <c r="N728" s="169" t="s">
        <v>11</v>
      </c>
    </row>
    <row r="729" spans="1:14" x14ac:dyDescent="0.25">
      <c r="A729" s="63" t="s">
        <v>8</v>
      </c>
      <c r="B729" s="71" t="s">
        <v>2661</v>
      </c>
      <c r="C729" s="59">
        <v>4058075099777</v>
      </c>
      <c r="D729" s="84"/>
      <c r="E729" s="85"/>
      <c r="F729" s="16"/>
      <c r="G729" s="156" t="str">
        <f>HYPERLINK("https://ledvance.com/pt/product-datasheet/8742/125431","Ficha Técnica")</f>
        <v>Ficha Técnica</v>
      </c>
      <c r="H729" s="15">
        <v>25</v>
      </c>
      <c r="I729" s="163">
        <v>2500</v>
      </c>
      <c r="J729" s="15">
        <v>25</v>
      </c>
      <c r="K729" s="163" t="s">
        <v>46</v>
      </c>
      <c r="L729" s="15">
        <v>5</v>
      </c>
      <c r="M729" s="188">
        <v>33.200000000000003</v>
      </c>
      <c r="N729" s="169" t="s">
        <v>11</v>
      </c>
    </row>
    <row r="730" spans="1:14" x14ac:dyDescent="0.25">
      <c r="A730" s="63" t="s">
        <v>8</v>
      </c>
      <c r="B730" s="71" t="s">
        <v>2662</v>
      </c>
      <c r="C730" s="59">
        <v>4058075099791</v>
      </c>
      <c r="D730" s="84"/>
      <c r="E730" s="85"/>
      <c r="F730" s="16"/>
      <c r="G730" s="156" t="str">
        <f>HYPERLINK("https://ledvance.com/pt/product-datasheet/8742/125435","Ficha Técnica")</f>
        <v>Ficha Técnica</v>
      </c>
      <c r="H730" s="15">
        <v>25</v>
      </c>
      <c r="I730" s="163">
        <v>2500</v>
      </c>
      <c r="J730" s="15">
        <v>25</v>
      </c>
      <c r="K730" s="163" t="s">
        <v>46</v>
      </c>
      <c r="L730" s="15">
        <v>5</v>
      </c>
      <c r="M730" s="188">
        <v>33.200000000000003</v>
      </c>
      <c r="N730" s="169" t="s">
        <v>11</v>
      </c>
    </row>
    <row r="731" spans="1:14" x14ac:dyDescent="0.25">
      <c r="A731" s="66" t="s">
        <v>8</v>
      </c>
      <c r="B731" s="69" t="s">
        <v>218</v>
      </c>
      <c r="C731" s="20"/>
      <c r="D731" s="65"/>
      <c r="E731" s="86"/>
      <c r="F731" s="12"/>
      <c r="G731" s="157"/>
      <c r="H731" s="12"/>
      <c r="I731" s="62"/>
      <c r="J731" s="27"/>
      <c r="K731" s="62"/>
      <c r="L731" s="12"/>
      <c r="M731" s="191"/>
      <c r="N731" s="65"/>
    </row>
    <row r="732" spans="1:14" x14ac:dyDescent="0.25">
      <c r="A732" s="63" t="s">
        <v>8</v>
      </c>
      <c r="B732" s="71" t="s">
        <v>2663</v>
      </c>
      <c r="C732" s="59">
        <v>4058075771017</v>
      </c>
      <c r="D732" s="84"/>
      <c r="E732" s="85"/>
      <c r="F732" s="16"/>
      <c r="G732" s="156" t="str">
        <f>HYPERLINK("https://ledvance.com/pt/product-datasheet/226661/207471","Ficha Técnica")</f>
        <v>Ficha Técnica</v>
      </c>
      <c r="H732" s="15">
        <v>4</v>
      </c>
      <c r="I732" s="163">
        <v>6000</v>
      </c>
      <c r="J732" s="15">
        <v>35</v>
      </c>
      <c r="K732" s="163" t="s">
        <v>153</v>
      </c>
      <c r="L732" s="15">
        <v>5</v>
      </c>
      <c r="M732" s="188">
        <v>154.1</v>
      </c>
      <c r="N732" s="169" t="s">
        <v>11</v>
      </c>
    </row>
    <row r="733" spans="1:14" x14ac:dyDescent="0.25">
      <c r="A733" s="63" t="s">
        <v>8</v>
      </c>
      <c r="B733" s="71" t="s">
        <v>2664</v>
      </c>
      <c r="C733" s="59">
        <v>4099854190490</v>
      </c>
      <c r="D733" s="103"/>
      <c r="E733" s="104"/>
      <c r="F733" s="16"/>
      <c r="G733" s="156" t="str">
        <f>HYPERLINK("https://ledvance.com/pt/product-datasheet/226661/272960","Ficha Técnica")</f>
        <v>Ficha Técnica</v>
      </c>
      <c r="H733" s="15">
        <v>4</v>
      </c>
      <c r="I733" s="163">
        <v>6000</v>
      </c>
      <c r="J733" s="15">
        <v>35</v>
      </c>
      <c r="K733" s="163" t="s">
        <v>153</v>
      </c>
      <c r="L733" s="15">
        <v>5</v>
      </c>
      <c r="M733" s="188">
        <v>154.1</v>
      </c>
      <c r="N733" s="169" t="s">
        <v>11</v>
      </c>
    </row>
    <row r="734" spans="1:14" x14ac:dyDescent="0.25">
      <c r="A734" s="63" t="s">
        <v>8</v>
      </c>
      <c r="B734" s="71" t="s">
        <v>2665</v>
      </c>
      <c r="C734" s="59">
        <v>4058075771093</v>
      </c>
      <c r="D734" s="84"/>
      <c r="E734" s="85"/>
      <c r="F734" s="16"/>
      <c r="G734" s="156" t="str">
        <f>HYPERLINK("https://ledvance.com/pt/product-datasheet/226662/207474","Ficha Técnica")</f>
        <v>Ficha Técnica</v>
      </c>
      <c r="H734" s="15">
        <v>4</v>
      </c>
      <c r="I734" s="163">
        <v>6000</v>
      </c>
      <c r="J734" s="15">
        <v>35</v>
      </c>
      <c r="K734" s="163" t="s">
        <v>153</v>
      </c>
      <c r="L734" s="15">
        <v>5</v>
      </c>
      <c r="M734" s="188">
        <v>154.1</v>
      </c>
      <c r="N734" s="169" t="s">
        <v>11</v>
      </c>
    </row>
    <row r="735" spans="1:14" x14ac:dyDescent="0.25">
      <c r="A735" s="63" t="s">
        <v>8</v>
      </c>
      <c r="B735" s="71" t="s">
        <v>2666</v>
      </c>
      <c r="C735" s="59">
        <v>4099854190513</v>
      </c>
      <c r="D735" s="103"/>
      <c r="E735" s="104"/>
      <c r="F735" s="16"/>
      <c r="G735" s="156" t="str">
        <f>HYPERLINK("https://ledvance.com/pt/product-datasheet/226662/272963","Ficha Técnica")</f>
        <v>Ficha Técnica</v>
      </c>
      <c r="H735" s="15">
        <v>4</v>
      </c>
      <c r="I735" s="163">
        <v>6000</v>
      </c>
      <c r="J735" s="15">
        <v>35</v>
      </c>
      <c r="K735" s="163" t="s">
        <v>153</v>
      </c>
      <c r="L735" s="15">
        <v>5</v>
      </c>
      <c r="M735" s="188">
        <v>154.1</v>
      </c>
      <c r="N735" s="169" t="s">
        <v>11</v>
      </c>
    </row>
    <row r="736" spans="1:14" x14ac:dyDescent="0.25">
      <c r="A736" s="63" t="s">
        <v>8</v>
      </c>
      <c r="B736" s="71" t="s">
        <v>2667</v>
      </c>
      <c r="C736" s="59">
        <v>4058075771406</v>
      </c>
      <c r="D736" s="84"/>
      <c r="E736" s="85"/>
      <c r="F736" s="16"/>
      <c r="G736" s="156" t="str">
        <f>HYPERLINK("https://ledvance.com/pt/product-datasheet/226663/207500","Ficha Técnica")</f>
        <v>Ficha Técnica</v>
      </c>
      <c r="H736" s="15">
        <v>4</v>
      </c>
      <c r="I736" s="163">
        <v>5800</v>
      </c>
      <c r="J736" s="15">
        <v>35</v>
      </c>
      <c r="K736" s="163" t="s">
        <v>153</v>
      </c>
      <c r="L736" s="15">
        <v>5</v>
      </c>
      <c r="M736" s="188">
        <v>165.9</v>
      </c>
      <c r="N736" s="169" t="s">
        <v>11</v>
      </c>
    </row>
    <row r="737" spans="1:14" x14ac:dyDescent="0.25">
      <c r="A737" s="63" t="s">
        <v>8</v>
      </c>
      <c r="B737" s="71" t="s">
        <v>2668</v>
      </c>
      <c r="C737" s="59">
        <v>4099854190599</v>
      </c>
      <c r="D737" s="103"/>
      <c r="E737" s="104"/>
      <c r="F737" s="16"/>
      <c r="G737" s="156" t="str">
        <f>HYPERLINK("https://ledvance.com/pt/product-datasheet/226663/272975","Ficha Técnica")</f>
        <v>Ficha Técnica</v>
      </c>
      <c r="H737" s="15">
        <v>4</v>
      </c>
      <c r="I737" s="163">
        <v>5800</v>
      </c>
      <c r="J737" s="15">
        <v>35</v>
      </c>
      <c r="K737" s="163" t="s">
        <v>153</v>
      </c>
      <c r="L737" s="15">
        <v>5</v>
      </c>
      <c r="M737" s="188">
        <v>165.9</v>
      </c>
      <c r="N737" s="169" t="s">
        <v>11</v>
      </c>
    </row>
    <row r="738" spans="1:14" x14ac:dyDescent="0.25">
      <c r="A738" s="63" t="s">
        <v>8</v>
      </c>
      <c r="B738" s="71" t="s">
        <v>2669</v>
      </c>
      <c r="C738" s="59">
        <v>4099854190636</v>
      </c>
      <c r="D738" s="103"/>
      <c r="E738" s="104"/>
      <c r="F738" s="16"/>
      <c r="G738" s="156" t="str">
        <f>HYPERLINK("https://ledvance.com/pt/product-datasheet/280270/272981","Ficha Técnica")</f>
        <v>Ficha Técnica</v>
      </c>
      <c r="H738" s="15">
        <v>4</v>
      </c>
      <c r="I738" s="163">
        <v>6000</v>
      </c>
      <c r="J738" s="15">
        <v>35</v>
      </c>
      <c r="K738" s="163" t="s">
        <v>153</v>
      </c>
      <c r="L738" s="15">
        <v>5</v>
      </c>
      <c r="M738" s="188">
        <v>154.1</v>
      </c>
      <c r="N738" s="169" t="s">
        <v>11</v>
      </c>
    </row>
    <row r="739" spans="1:14" x14ac:dyDescent="0.25">
      <c r="A739" s="63" t="s">
        <v>8</v>
      </c>
      <c r="B739" s="71" t="s">
        <v>2670</v>
      </c>
      <c r="C739" s="59">
        <v>4099854190612</v>
      </c>
      <c r="D739" s="103"/>
      <c r="E739" s="104"/>
      <c r="F739" s="16"/>
      <c r="G739" s="156" t="str">
        <f>HYPERLINK("https://ledvance.com/pt/product-datasheet/280270/272978","Ficha Técnica")</f>
        <v>Ficha Técnica</v>
      </c>
      <c r="H739" s="15">
        <v>4</v>
      </c>
      <c r="I739" s="163">
        <v>6000</v>
      </c>
      <c r="J739" s="15">
        <v>35</v>
      </c>
      <c r="K739" s="163" t="s">
        <v>153</v>
      </c>
      <c r="L739" s="15">
        <v>5</v>
      </c>
      <c r="M739" s="188">
        <v>154.1</v>
      </c>
      <c r="N739" s="169" t="s">
        <v>11</v>
      </c>
    </row>
    <row r="740" spans="1:14" x14ac:dyDescent="0.25">
      <c r="A740" s="63" t="s">
        <v>8</v>
      </c>
      <c r="B740" s="71" t="s">
        <v>2671</v>
      </c>
      <c r="C740" s="59">
        <v>4058075771307</v>
      </c>
      <c r="D740" s="84"/>
      <c r="E740" s="85"/>
      <c r="F740" s="16"/>
      <c r="G740" s="156" t="str">
        <f>HYPERLINK("https://ledvance.com/pt/product-datasheet/226664/207482","Ficha Técnica")</f>
        <v>Ficha Técnica</v>
      </c>
      <c r="H740" s="15">
        <v>4</v>
      </c>
      <c r="I740" s="163">
        <v>6000</v>
      </c>
      <c r="J740" s="15">
        <v>35</v>
      </c>
      <c r="K740" s="163" t="s">
        <v>153</v>
      </c>
      <c r="L740" s="15">
        <v>5</v>
      </c>
      <c r="M740" s="188">
        <v>154.1</v>
      </c>
      <c r="N740" s="169" t="s">
        <v>11</v>
      </c>
    </row>
    <row r="741" spans="1:14" x14ac:dyDescent="0.25">
      <c r="A741" s="63" t="s">
        <v>8</v>
      </c>
      <c r="B741" s="71" t="s">
        <v>2672</v>
      </c>
      <c r="C741" s="59">
        <v>4099854190537</v>
      </c>
      <c r="D741" s="103"/>
      <c r="E741" s="104"/>
      <c r="F741" s="16"/>
      <c r="G741" s="156" t="str">
        <f>HYPERLINK("https://ledvance.com/pt/product-datasheet/226664/272966","Ficha Técnica")</f>
        <v>Ficha Técnica</v>
      </c>
      <c r="H741" s="15">
        <v>4</v>
      </c>
      <c r="I741" s="163">
        <v>6000</v>
      </c>
      <c r="J741" s="15">
        <v>35</v>
      </c>
      <c r="K741" s="163" t="s">
        <v>153</v>
      </c>
      <c r="L741" s="15">
        <v>5</v>
      </c>
      <c r="M741" s="188">
        <v>154.1</v>
      </c>
      <c r="N741" s="169" t="s">
        <v>11</v>
      </c>
    </row>
    <row r="742" spans="1:14" x14ac:dyDescent="0.25">
      <c r="A742" s="63" t="s">
        <v>8</v>
      </c>
      <c r="B742" s="71" t="s">
        <v>2673</v>
      </c>
      <c r="C742" s="59">
        <v>4058075771345</v>
      </c>
      <c r="D742" s="84"/>
      <c r="E742" s="85"/>
      <c r="F742" s="16"/>
      <c r="G742" s="156" t="str">
        <f>HYPERLINK("https://ledvance.com/pt/product-datasheet/226665/207490","Ficha Técnica")</f>
        <v>Ficha Técnica</v>
      </c>
      <c r="H742" s="15">
        <v>4</v>
      </c>
      <c r="I742" s="163">
        <v>6000</v>
      </c>
      <c r="J742" s="15">
        <v>35</v>
      </c>
      <c r="K742" s="163" t="s">
        <v>153</v>
      </c>
      <c r="L742" s="15">
        <v>5</v>
      </c>
      <c r="M742" s="188">
        <v>154.1</v>
      </c>
      <c r="N742" s="169" t="s">
        <v>11</v>
      </c>
    </row>
    <row r="743" spans="1:14" x14ac:dyDescent="0.25">
      <c r="A743" s="63" t="s">
        <v>8</v>
      </c>
      <c r="B743" s="71" t="s">
        <v>2674</v>
      </c>
      <c r="C743" s="59">
        <v>4099854190551</v>
      </c>
      <c r="D743" s="103"/>
      <c r="E743" s="104"/>
      <c r="F743" s="16"/>
      <c r="G743" s="156" t="str">
        <f>HYPERLINK("https://ledvance.com/pt/product-datasheet/226665/272969","Ficha Técnica")</f>
        <v>Ficha Técnica</v>
      </c>
      <c r="H743" s="15">
        <v>4</v>
      </c>
      <c r="I743" s="163">
        <v>6000</v>
      </c>
      <c r="J743" s="15">
        <v>35</v>
      </c>
      <c r="K743" s="163" t="s">
        <v>153</v>
      </c>
      <c r="L743" s="15">
        <v>5</v>
      </c>
      <c r="M743" s="188">
        <v>154.1</v>
      </c>
      <c r="N743" s="169" t="s">
        <v>11</v>
      </c>
    </row>
    <row r="744" spans="1:14" x14ac:dyDescent="0.25">
      <c r="A744" s="63" t="s">
        <v>8</v>
      </c>
      <c r="B744" s="71" t="s">
        <v>2675</v>
      </c>
      <c r="C744" s="59">
        <v>4058075771383</v>
      </c>
      <c r="D744" s="84"/>
      <c r="E744" s="85"/>
      <c r="F744" s="16"/>
      <c r="G744" s="156" t="str">
        <f>HYPERLINK("https://ledvance.com/pt/product-datasheet/226666/207493","Ficha Técnica")</f>
        <v>Ficha Técnica</v>
      </c>
      <c r="H744" s="15">
        <v>4</v>
      </c>
      <c r="I744" s="163">
        <v>6000</v>
      </c>
      <c r="J744" s="15">
        <v>35</v>
      </c>
      <c r="K744" s="163" t="s">
        <v>153</v>
      </c>
      <c r="L744" s="15">
        <v>5</v>
      </c>
      <c r="M744" s="188">
        <v>154.1</v>
      </c>
      <c r="N744" s="169" t="s">
        <v>11</v>
      </c>
    </row>
    <row r="745" spans="1:14" x14ac:dyDescent="0.25">
      <c r="A745" s="63" t="s">
        <v>8</v>
      </c>
      <c r="B745" s="71" t="s">
        <v>2676</v>
      </c>
      <c r="C745" s="59">
        <v>4099854190575</v>
      </c>
      <c r="D745" s="108"/>
      <c r="E745" s="109"/>
      <c r="F745" s="16"/>
      <c r="G745" s="156" t="str">
        <f>HYPERLINK("https://ledvance.com/pt/product-datasheet/226666/272972","Ficha Técnica")</f>
        <v>Ficha Técnica</v>
      </c>
      <c r="H745" s="15">
        <v>4</v>
      </c>
      <c r="I745" s="163">
        <v>6000</v>
      </c>
      <c r="J745" s="15">
        <v>35</v>
      </c>
      <c r="K745" s="163" t="s">
        <v>153</v>
      </c>
      <c r="L745" s="15">
        <v>5</v>
      </c>
      <c r="M745" s="188">
        <v>154.1</v>
      </c>
      <c r="N745" s="169" t="s">
        <v>11</v>
      </c>
    </row>
    <row r="746" spans="1:14" x14ac:dyDescent="0.25">
      <c r="A746" s="63" t="s">
        <v>8</v>
      </c>
      <c r="B746" s="71" t="s">
        <v>2677</v>
      </c>
      <c r="C746" s="59">
        <v>4058075771444</v>
      </c>
      <c r="D746" s="84"/>
      <c r="E746" s="85"/>
      <c r="F746" s="16"/>
      <c r="G746" s="156" t="str">
        <f>HYPERLINK("https://ledvance.com/pt/product-datasheet/226661/207509","Ficha Técnica")</f>
        <v>Ficha Técnica</v>
      </c>
      <c r="H746" s="15">
        <v>4</v>
      </c>
      <c r="I746" s="163">
        <v>8600</v>
      </c>
      <c r="J746" s="15">
        <v>50</v>
      </c>
      <c r="K746" s="163" t="s">
        <v>153</v>
      </c>
      <c r="L746" s="15">
        <v>5</v>
      </c>
      <c r="M746" s="188">
        <v>171.8</v>
      </c>
      <c r="N746" s="169" t="s">
        <v>11</v>
      </c>
    </row>
    <row r="747" spans="1:14" x14ac:dyDescent="0.25">
      <c r="A747" s="63" t="s">
        <v>8</v>
      </c>
      <c r="B747" s="71" t="s">
        <v>2678</v>
      </c>
      <c r="C747" s="59">
        <v>4099854190650</v>
      </c>
      <c r="D747" s="103"/>
      <c r="E747" s="104"/>
      <c r="F747" s="16"/>
      <c r="G747" s="156" t="str">
        <f>HYPERLINK("https://ledvance.com/pt/product-datasheet/226661/272984","Ficha Técnica")</f>
        <v>Ficha Técnica</v>
      </c>
      <c r="H747" s="15">
        <v>4</v>
      </c>
      <c r="I747" s="163">
        <v>8600</v>
      </c>
      <c r="J747" s="15">
        <v>50</v>
      </c>
      <c r="K747" s="163" t="s">
        <v>153</v>
      </c>
      <c r="L747" s="15">
        <v>5</v>
      </c>
      <c r="M747" s="188">
        <v>171.8</v>
      </c>
      <c r="N747" s="169" t="s">
        <v>11</v>
      </c>
    </row>
    <row r="748" spans="1:14" x14ac:dyDescent="0.25">
      <c r="A748" s="63" t="s">
        <v>8</v>
      </c>
      <c r="B748" s="71" t="s">
        <v>2679</v>
      </c>
      <c r="C748" s="59">
        <v>4058075771482</v>
      </c>
      <c r="D748" s="84"/>
      <c r="E748" s="85"/>
      <c r="F748" s="16"/>
      <c r="G748" s="156" t="str">
        <f>HYPERLINK("https://ledvance.com/pt/product-datasheet/226662/207516","Ficha Técnica")</f>
        <v>Ficha Técnica</v>
      </c>
      <c r="H748" s="15">
        <v>4</v>
      </c>
      <c r="I748" s="163">
        <v>8600</v>
      </c>
      <c r="J748" s="15">
        <v>50</v>
      </c>
      <c r="K748" s="163" t="s">
        <v>153</v>
      </c>
      <c r="L748" s="15">
        <v>5</v>
      </c>
      <c r="M748" s="188">
        <v>171.8</v>
      </c>
      <c r="N748" s="169" t="s">
        <v>11</v>
      </c>
    </row>
    <row r="749" spans="1:14" x14ac:dyDescent="0.25">
      <c r="A749" s="63" t="s">
        <v>8</v>
      </c>
      <c r="B749" s="71" t="s">
        <v>2680</v>
      </c>
      <c r="C749" s="59">
        <v>4099854190674</v>
      </c>
      <c r="D749" s="103"/>
      <c r="E749" s="104"/>
      <c r="F749" s="16"/>
      <c r="G749" s="156" t="str">
        <f>HYPERLINK("https://ledvance.com/pt/product-datasheet/226662/272987","Ficha Técnica")</f>
        <v>Ficha Técnica</v>
      </c>
      <c r="H749" s="15">
        <v>4</v>
      </c>
      <c r="I749" s="163">
        <v>8600</v>
      </c>
      <c r="J749" s="15">
        <v>50</v>
      </c>
      <c r="K749" s="163" t="s">
        <v>153</v>
      </c>
      <c r="L749" s="15">
        <v>5</v>
      </c>
      <c r="M749" s="188">
        <v>171.8</v>
      </c>
      <c r="N749" s="169" t="s">
        <v>11</v>
      </c>
    </row>
    <row r="750" spans="1:14" x14ac:dyDescent="0.25">
      <c r="A750" s="63" t="s">
        <v>8</v>
      </c>
      <c r="B750" s="71" t="s">
        <v>2681</v>
      </c>
      <c r="C750" s="59">
        <v>4058075771826</v>
      </c>
      <c r="D750" s="84"/>
      <c r="E750" s="85"/>
      <c r="F750" s="16"/>
      <c r="G750" s="156" t="str">
        <f>HYPERLINK("https://ledvance.com/pt/product-datasheet/226663/207505","Ficha Técnica")</f>
        <v>Ficha Técnica</v>
      </c>
      <c r="H750" s="15">
        <v>4</v>
      </c>
      <c r="I750" s="163">
        <v>8300</v>
      </c>
      <c r="J750" s="15">
        <v>50</v>
      </c>
      <c r="K750" s="163" t="s">
        <v>153</v>
      </c>
      <c r="L750" s="15">
        <v>5</v>
      </c>
      <c r="M750" s="188">
        <v>186.4</v>
      </c>
      <c r="N750" s="169" t="s">
        <v>11</v>
      </c>
    </row>
    <row r="751" spans="1:14" x14ac:dyDescent="0.25">
      <c r="A751" s="63" t="s">
        <v>8</v>
      </c>
      <c r="B751" s="71" t="s">
        <v>2682</v>
      </c>
      <c r="C751" s="59">
        <v>4099854190759</v>
      </c>
      <c r="D751" s="103"/>
      <c r="E751" s="104"/>
      <c r="F751" s="16"/>
      <c r="G751" s="156" t="str">
        <f>HYPERLINK("https://ledvance.com/pt/product-datasheet/226663/272999","Ficha Técnica")</f>
        <v>Ficha Técnica</v>
      </c>
      <c r="H751" s="15">
        <v>4</v>
      </c>
      <c r="I751" s="163">
        <v>8300</v>
      </c>
      <c r="J751" s="15">
        <v>50</v>
      </c>
      <c r="K751" s="163" t="s">
        <v>153</v>
      </c>
      <c r="L751" s="15">
        <v>5</v>
      </c>
      <c r="M751" s="188">
        <v>186.4</v>
      </c>
      <c r="N751" s="169" t="s">
        <v>11</v>
      </c>
    </row>
    <row r="752" spans="1:14" x14ac:dyDescent="0.25">
      <c r="A752" s="63" t="s">
        <v>8</v>
      </c>
      <c r="B752" s="71" t="s">
        <v>2683</v>
      </c>
      <c r="C752" s="59">
        <v>4099854190797</v>
      </c>
      <c r="D752" s="103"/>
      <c r="E752" s="104"/>
      <c r="F752" s="16"/>
      <c r="G752" s="156" t="str">
        <f>HYPERLINK("https://ledvance.com/pt/product-datasheet/280270/273005","Ficha Técnica")</f>
        <v>Ficha Técnica</v>
      </c>
      <c r="H752" s="15">
        <v>4</v>
      </c>
      <c r="I752" s="163">
        <v>8600</v>
      </c>
      <c r="J752" s="15">
        <v>50</v>
      </c>
      <c r="K752" s="163" t="s">
        <v>153</v>
      </c>
      <c r="L752" s="15">
        <v>5</v>
      </c>
      <c r="M752" s="188">
        <v>171.8</v>
      </c>
      <c r="N752" s="169" t="s">
        <v>11</v>
      </c>
    </row>
    <row r="753" spans="1:14" x14ac:dyDescent="0.25">
      <c r="A753" s="63" t="s">
        <v>8</v>
      </c>
      <c r="B753" s="71" t="s">
        <v>2684</v>
      </c>
      <c r="C753" s="59">
        <v>4099854190773</v>
      </c>
      <c r="D753" s="103"/>
      <c r="E753" s="104"/>
      <c r="F753" s="16"/>
      <c r="G753" s="156" t="str">
        <f>HYPERLINK("https://ledvance.com/pt/product-datasheet/280270/273002","Ficha Técnica")</f>
        <v>Ficha Técnica</v>
      </c>
      <c r="H753" s="15">
        <v>4</v>
      </c>
      <c r="I753" s="163">
        <v>8600</v>
      </c>
      <c r="J753" s="15">
        <v>50</v>
      </c>
      <c r="K753" s="163" t="s">
        <v>153</v>
      </c>
      <c r="L753" s="15">
        <v>5</v>
      </c>
      <c r="M753" s="188">
        <v>171.8</v>
      </c>
      <c r="N753" s="169" t="s">
        <v>11</v>
      </c>
    </row>
    <row r="754" spans="1:14" x14ac:dyDescent="0.25">
      <c r="A754" s="63" t="s">
        <v>8</v>
      </c>
      <c r="B754" s="71" t="s">
        <v>2685</v>
      </c>
      <c r="C754" s="59">
        <v>4058075771574</v>
      </c>
      <c r="D754" s="84"/>
      <c r="E754" s="85"/>
      <c r="F754" s="16"/>
      <c r="G754" s="156" t="str">
        <f>HYPERLINK("https://ledvance.com/pt/product-datasheet/226664/207534","Ficha Técnica")</f>
        <v>Ficha Técnica</v>
      </c>
      <c r="H754" s="15">
        <v>4</v>
      </c>
      <c r="I754" s="163">
        <v>8600</v>
      </c>
      <c r="J754" s="15">
        <v>50</v>
      </c>
      <c r="K754" s="163" t="s">
        <v>153</v>
      </c>
      <c r="L754" s="15">
        <v>5</v>
      </c>
      <c r="M754" s="188">
        <v>171.8</v>
      </c>
      <c r="N754" s="169" t="s">
        <v>11</v>
      </c>
    </row>
    <row r="755" spans="1:14" x14ac:dyDescent="0.25">
      <c r="A755" s="63" t="s">
        <v>8</v>
      </c>
      <c r="B755" s="71" t="s">
        <v>2686</v>
      </c>
      <c r="C755" s="59">
        <v>4099854190698</v>
      </c>
      <c r="D755" s="103"/>
      <c r="E755" s="104"/>
      <c r="F755" s="16"/>
      <c r="G755" s="156" t="str">
        <f>HYPERLINK("https://ledvance.com/pt/product-datasheet/226664/272990","Ficha Técnica")</f>
        <v>Ficha Técnica</v>
      </c>
      <c r="H755" s="15">
        <v>4</v>
      </c>
      <c r="I755" s="163">
        <v>8600</v>
      </c>
      <c r="J755" s="15">
        <v>50</v>
      </c>
      <c r="K755" s="163" t="s">
        <v>153</v>
      </c>
      <c r="L755" s="15">
        <v>5</v>
      </c>
      <c r="M755" s="188">
        <v>171.8</v>
      </c>
      <c r="N755" s="169" t="s">
        <v>11</v>
      </c>
    </row>
    <row r="756" spans="1:14" x14ac:dyDescent="0.25">
      <c r="A756" s="63" t="s">
        <v>8</v>
      </c>
      <c r="B756" s="71" t="s">
        <v>2687</v>
      </c>
      <c r="C756" s="59">
        <v>4058075771604</v>
      </c>
      <c r="D756" s="84"/>
      <c r="E756" s="85"/>
      <c r="F756" s="16"/>
      <c r="G756" s="156" t="str">
        <f>HYPERLINK("https://ledvance.com/pt/product-datasheet/226665/207494","Ficha Técnica")</f>
        <v>Ficha Técnica</v>
      </c>
      <c r="H756" s="15">
        <v>4</v>
      </c>
      <c r="I756" s="163">
        <v>8600</v>
      </c>
      <c r="J756" s="15">
        <v>50</v>
      </c>
      <c r="K756" s="163" t="s">
        <v>153</v>
      </c>
      <c r="L756" s="15">
        <v>5</v>
      </c>
      <c r="M756" s="188">
        <v>171.8</v>
      </c>
      <c r="N756" s="169" t="s">
        <v>11</v>
      </c>
    </row>
    <row r="757" spans="1:14" x14ac:dyDescent="0.25">
      <c r="A757" s="63" t="s">
        <v>8</v>
      </c>
      <c r="B757" s="71" t="s">
        <v>2688</v>
      </c>
      <c r="C757" s="59">
        <v>4099854190711</v>
      </c>
      <c r="D757" s="103"/>
      <c r="E757" s="104"/>
      <c r="F757" s="16"/>
      <c r="G757" s="156" t="str">
        <f>HYPERLINK("https://ledvance.com/pt/product-datasheet/226665/272993","Ficha Técnica")</f>
        <v>Ficha Técnica</v>
      </c>
      <c r="H757" s="15">
        <v>4</v>
      </c>
      <c r="I757" s="163">
        <v>8600</v>
      </c>
      <c r="J757" s="15">
        <v>50</v>
      </c>
      <c r="K757" s="163" t="s">
        <v>153</v>
      </c>
      <c r="L757" s="15">
        <v>5</v>
      </c>
      <c r="M757" s="188">
        <v>171.8</v>
      </c>
      <c r="N757" s="169" t="s">
        <v>11</v>
      </c>
    </row>
    <row r="758" spans="1:14" x14ac:dyDescent="0.25">
      <c r="A758" s="63" t="s">
        <v>8</v>
      </c>
      <c r="B758" s="71" t="s">
        <v>2689</v>
      </c>
      <c r="C758" s="59">
        <v>4058075771802</v>
      </c>
      <c r="D758" s="84"/>
      <c r="E758" s="85"/>
      <c r="F758" s="16"/>
      <c r="G758" s="156" t="str">
        <f>HYPERLINK("https://ledvance.com/pt/product-datasheet/226666/207499","Ficha Técnica")</f>
        <v>Ficha Técnica</v>
      </c>
      <c r="H758" s="15">
        <v>4</v>
      </c>
      <c r="I758" s="163">
        <v>8600</v>
      </c>
      <c r="J758" s="15">
        <v>50</v>
      </c>
      <c r="K758" s="163" t="s">
        <v>153</v>
      </c>
      <c r="L758" s="15">
        <v>5</v>
      </c>
      <c r="M758" s="188">
        <v>171.8</v>
      </c>
      <c r="N758" s="169" t="s">
        <v>11</v>
      </c>
    </row>
    <row r="759" spans="1:14" x14ac:dyDescent="0.25">
      <c r="A759" s="63" t="s">
        <v>8</v>
      </c>
      <c r="B759" s="71" t="s">
        <v>2690</v>
      </c>
      <c r="C759" s="59">
        <v>4099854190735</v>
      </c>
      <c r="D759" s="103"/>
      <c r="E759" s="104"/>
      <c r="F759" s="16"/>
      <c r="G759" s="156" t="str">
        <f>HYPERLINK("https://ledvance.com/pt/product-datasheet/226666/272996","Ficha Técnica")</f>
        <v>Ficha Técnica</v>
      </c>
      <c r="H759" s="15">
        <v>4</v>
      </c>
      <c r="I759" s="163">
        <v>8600</v>
      </c>
      <c r="J759" s="15">
        <v>50</v>
      </c>
      <c r="K759" s="163" t="s">
        <v>153</v>
      </c>
      <c r="L759" s="15">
        <v>5</v>
      </c>
      <c r="M759" s="188">
        <v>171.8</v>
      </c>
      <c r="N759" s="169" t="s">
        <v>11</v>
      </c>
    </row>
    <row r="760" spans="1:14" x14ac:dyDescent="0.25">
      <c r="A760" s="63" t="s">
        <v>8</v>
      </c>
      <c r="B760" s="71" t="s">
        <v>2691</v>
      </c>
      <c r="C760" s="59">
        <v>4058075771840</v>
      </c>
      <c r="D760" s="84"/>
      <c r="E760" s="85"/>
      <c r="F760" s="16"/>
      <c r="G760" s="156" t="str">
        <f>HYPERLINK("https://ledvance.com/pt/product-datasheet/226661/207511","Ficha Técnica")</f>
        <v>Ficha Técnica</v>
      </c>
      <c r="H760" s="15">
        <v>4</v>
      </c>
      <c r="I760" s="163">
        <v>12100</v>
      </c>
      <c r="J760" s="15">
        <v>70</v>
      </c>
      <c r="K760" s="163" t="s">
        <v>153</v>
      </c>
      <c r="L760" s="15">
        <v>5</v>
      </c>
      <c r="M760" s="188">
        <v>204.4</v>
      </c>
      <c r="N760" s="169" t="s">
        <v>11</v>
      </c>
    </row>
    <row r="761" spans="1:14" x14ac:dyDescent="0.25">
      <c r="A761" s="63" t="s">
        <v>8</v>
      </c>
      <c r="B761" s="71" t="s">
        <v>2692</v>
      </c>
      <c r="C761" s="59">
        <v>4099854190810</v>
      </c>
      <c r="D761" s="103"/>
      <c r="E761" s="104"/>
      <c r="F761" s="16"/>
      <c r="G761" s="156" t="str">
        <f>HYPERLINK("https://ledvance.com/pt/product-datasheet/226661/273008","Ficha Técnica")</f>
        <v>Ficha Técnica</v>
      </c>
      <c r="H761" s="15">
        <v>4</v>
      </c>
      <c r="I761" s="163">
        <v>12100</v>
      </c>
      <c r="J761" s="15">
        <v>70</v>
      </c>
      <c r="K761" s="163" t="s">
        <v>153</v>
      </c>
      <c r="L761" s="15">
        <v>5</v>
      </c>
      <c r="M761" s="188">
        <v>204.4</v>
      </c>
      <c r="N761" s="169" t="s">
        <v>11</v>
      </c>
    </row>
    <row r="762" spans="1:14" x14ac:dyDescent="0.25">
      <c r="A762" s="63" t="s">
        <v>8</v>
      </c>
      <c r="B762" s="71" t="s">
        <v>2693</v>
      </c>
      <c r="C762" s="59">
        <v>4058075771864</v>
      </c>
      <c r="D762" s="84"/>
      <c r="E762" s="85"/>
      <c r="F762" s="16"/>
      <c r="G762" s="156" t="str">
        <f>HYPERLINK("https://ledvance.com/pt/product-datasheet/226662/207478","Ficha Técnica")</f>
        <v>Ficha Técnica</v>
      </c>
      <c r="H762" s="15">
        <v>4</v>
      </c>
      <c r="I762" s="163">
        <v>12100</v>
      </c>
      <c r="J762" s="15">
        <v>70</v>
      </c>
      <c r="K762" s="163" t="s">
        <v>153</v>
      </c>
      <c r="L762" s="15">
        <v>5</v>
      </c>
      <c r="M762" s="188">
        <v>204.4</v>
      </c>
      <c r="N762" s="169" t="s">
        <v>11</v>
      </c>
    </row>
    <row r="763" spans="1:14" x14ac:dyDescent="0.25">
      <c r="A763" s="63" t="s">
        <v>8</v>
      </c>
      <c r="B763" s="71" t="s">
        <v>2694</v>
      </c>
      <c r="C763" s="59">
        <v>4099854190834</v>
      </c>
      <c r="D763" s="103"/>
      <c r="E763" s="104"/>
      <c r="F763" s="16"/>
      <c r="G763" s="156" t="str">
        <f>HYPERLINK("https://ledvance.com/pt/product-datasheet/226662/273011","Ficha Técnica")</f>
        <v>Ficha Técnica</v>
      </c>
      <c r="H763" s="15">
        <v>4</v>
      </c>
      <c r="I763" s="163">
        <v>12100</v>
      </c>
      <c r="J763" s="15">
        <v>70</v>
      </c>
      <c r="K763" s="163" t="s">
        <v>153</v>
      </c>
      <c r="L763" s="15">
        <v>5</v>
      </c>
      <c r="M763" s="188">
        <v>204.4</v>
      </c>
      <c r="N763" s="169" t="s">
        <v>11</v>
      </c>
    </row>
    <row r="764" spans="1:14" x14ac:dyDescent="0.25">
      <c r="A764" s="63" t="s">
        <v>8</v>
      </c>
      <c r="B764" s="71" t="s">
        <v>2695</v>
      </c>
      <c r="C764" s="59">
        <v>4058075772090</v>
      </c>
      <c r="D764" s="84"/>
      <c r="E764" s="85"/>
      <c r="F764" s="16"/>
      <c r="G764" s="156" t="str">
        <f>HYPERLINK("https://ledvance.com/pt/product-datasheet/226663/207517","Ficha Técnica")</f>
        <v>Ficha Técnica</v>
      </c>
      <c r="H764" s="15">
        <v>4</v>
      </c>
      <c r="I764" s="163">
        <v>11700</v>
      </c>
      <c r="J764" s="15">
        <v>70</v>
      </c>
      <c r="K764" s="163" t="s">
        <v>153</v>
      </c>
      <c r="L764" s="15">
        <v>5</v>
      </c>
      <c r="M764" s="188">
        <v>221.1</v>
      </c>
      <c r="N764" s="169" t="s">
        <v>11</v>
      </c>
    </row>
    <row r="765" spans="1:14" x14ac:dyDescent="0.25">
      <c r="A765" s="63" t="s">
        <v>8</v>
      </c>
      <c r="B765" s="71" t="s">
        <v>2696</v>
      </c>
      <c r="C765" s="59">
        <v>4099854190919</v>
      </c>
      <c r="D765" s="103"/>
      <c r="E765" s="104"/>
      <c r="F765" s="16"/>
      <c r="G765" s="156" t="str">
        <f>HYPERLINK("https://ledvance.com/pt/product-datasheet/226663/273023","Ficha Técnica")</f>
        <v>Ficha Técnica</v>
      </c>
      <c r="H765" s="15">
        <v>4</v>
      </c>
      <c r="I765" s="163">
        <v>11700</v>
      </c>
      <c r="J765" s="15">
        <v>70</v>
      </c>
      <c r="K765" s="163" t="s">
        <v>153</v>
      </c>
      <c r="L765" s="15">
        <v>5</v>
      </c>
      <c r="M765" s="188">
        <v>221.1</v>
      </c>
      <c r="N765" s="169" t="s">
        <v>11</v>
      </c>
    </row>
    <row r="766" spans="1:14" x14ac:dyDescent="0.25">
      <c r="A766" s="63" t="s">
        <v>8</v>
      </c>
      <c r="B766" s="71" t="s">
        <v>2697</v>
      </c>
      <c r="C766" s="59">
        <v>4099854190957</v>
      </c>
      <c r="D766" s="103"/>
      <c r="E766" s="104"/>
      <c r="F766" s="16"/>
      <c r="G766" s="156" t="str">
        <f>HYPERLINK("https://ledvance.com/pt/product-datasheet/280270/273029","Ficha Técnica")</f>
        <v>Ficha Técnica</v>
      </c>
      <c r="H766" s="15">
        <v>4</v>
      </c>
      <c r="I766" s="163">
        <v>12100</v>
      </c>
      <c r="J766" s="15">
        <v>70</v>
      </c>
      <c r="K766" s="163" t="s">
        <v>153</v>
      </c>
      <c r="L766" s="15">
        <v>5</v>
      </c>
      <c r="M766" s="188">
        <v>204.4</v>
      </c>
      <c r="N766" s="169" t="s">
        <v>11</v>
      </c>
    </row>
    <row r="767" spans="1:14" x14ac:dyDescent="0.25">
      <c r="A767" s="63" t="s">
        <v>8</v>
      </c>
      <c r="B767" s="71" t="s">
        <v>2698</v>
      </c>
      <c r="C767" s="59">
        <v>4099854190933</v>
      </c>
      <c r="D767" s="103"/>
      <c r="E767" s="104"/>
      <c r="F767" s="16"/>
      <c r="G767" s="156" t="str">
        <f>HYPERLINK("https://ledvance.com/pt/product-datasheet/280270/273026","Ficha Técnica")</f>
        <v>Ficha Técnica</v>
      </c>
      <c r="H767" s="15">
        <v>4</v>
      </c>
      <c r="I767" s="163">
        <v>12100</v>
      </c>
      <c r="J767" s="15">
        <v>70</v>
      </c>
      <c r="K767" s="163" t="s">
        <v>153</v>
      </c>
      <c r="L767" s="15">
        <v>5</v>
      </c>
      <c r="M767" s="188">
        <v>204.4</v>
      </c>
      <c r="N767" s="169" t="s">
        <v>11</v>
      </c>
    </row>
    <row r="768" spans="1:14" x14ac:dyDescent="0.25">
      <c r="A768" s="63" t="s">
        <v>8</v>
      </c>
      <c r="B768" s="71" t="s">
        <v>2699</v>
      </c>
      <c r="C768" s="59">
        <v>4058075771888</v>
      </c>
      <c r="D768" s="84"/>
      <c r="E768" s="85"/>
      <c r="F768" s="16"/>
      <c r="G768" s="156" t="str">
        <f>HYPERLINK("https://ledvance.com/pt/product-datasheet/226664/207486","Ficha Técnica")</f>
        <v>Ficha Técnica</v>
      </c>
      <c r="H768" s="15">
        <v>4</v>
      </c>
      <c r="I768" s="163">
        <v>12100</v>
      </c>
      <c r="J768" s="15">
        <v>70</v>
      </c>
      <c r="K768" s="163" t="s">
        <v>153</v>
      </c>
      <c r="L768" s="15">
        <v>5</v>
      </c>
      <c r="M768" s="188">
        <v>204.4</v>
      </c>
      <c r="N768" s="169" t="s">
        <v>11</v>
      </c>
    </row>
    <row r="769" spans="1:14" x14ac:dyDescent="0.25">
      <c r="A769" s="63" t="s">
        <v>8</v>
      </c>
      <c r="B769" s="71" t="s">
        <v>2700</v>
      </c>
      <c r="C769" s="59">
        <v>4099854190858</v>
      </c>
      <c r="D769" s="103"/>
      <c r="E769" s="104"/>
      <c r="F769" s="16"/>
      <c r="G769" s="156" t="str">
        <f>HYPERLINK("https://ledvance.com/pt/product-datasheet/226664/273014","Ficha Técnica")</f>
        <v>Ficha Técnica</v>
      </c>
      <c r="H769" s="15">
        <v>4</v>
      </c>
      <c r="I769" s="163">
        <v>12100</v>
      </c>
      <c r="J769" s="15">
        <v>70</v>
      </c>
      <c r="K769" s="163" t="s">
        <v>153</v>
      </c>
      <c r="L769" s="15">
        <v>5</v>
      </c>
      <c r="M769" s="188">
        <v>204.4</v>
      </c>
      <c r="N769" s="169" t="s">
        <v>11</v>
      </c>
    </row>
    <row r="770" spans="1:14" x14ac:dyDescent="0.25">
      <c r="A770" s="63" t="s">
        <v>8</v>
      </c>
      <c r="B770" s="71" t="s">
        <v>2701</v>
      </c>
      <c r="C770" s="59">
        <v>4058075771925</v>
      </c>
      <c r="D770" s="84"/>
      <c r="E770" s="85"/>
      <c r="F770" s="16"/>
      <c r="G770" s="156" t="str">
        <f>HYPERLINK("https://ledvance.com/pt/product-datasheet/226665/207528","Ficha Técnica")</f>
        <v>Ficha Técnica</v>
      </c>
      <c r="H770" s="15">
        <v>4</v>
      </c>
      <c r="I770" s="163">
        <v>12100</v>
      </c>
      <c r="J770" s="15">
        <v>70</v>
      </c>
      <c r="K770" s="163" t="s">
        <v>153</v>
      </c>
      <c r="L770" s="15">
        <v>5</v>
      </c>
      <c r="M770" s="188">
        <v>204.4</v>
      </c>
      <c r="N770" s="169" t="s">
        <v>11</v>
      </c>
    </row>
    <row r="771" spans="1:14" x14ac:dyDescent="0.25">
      <c r="A771" s="63" t="s">
        <v>8</v>
      </c>
      <c r="B771" s="71" t="s">
        <v>2702</v>
      </c>
      <c r="C771" s="59">
        <v>4099854190872</v>
      </c>
      <c r="D771" s="103"/>
      <c r="E771" s="104"/>
      <c r="F771" s="16"/>
      <c r="G771" s="156" t="str">
        <f>HYPERLINK("https://ledvance.com/pt/product-datasheet/226665/273017","Ficha Técnica")</f>
        <v>Ficha Técnica</v>
      </c>
      <c r="H771" s="15">
        <v>4</v>
      </c>
      <c r="I771" s="163">
        <v>12100</v>
      </c>
      <c r="J771" s="15">
        <v>70</v>
      </c>
      <c r="K771" s="163" t="s">
        <v>153</v>
      </c>
      <c r="L771" s="15">
        <v>5</v>
      </c>
      <c r="M771" s="188">
        <v>204.4</v>
      </c>
      <c r="N771" s="169" t="s">
        <v>11</v>
      </c>
    </row>
    <row r="772" spans="1:14" x14ac:dyDescent="0.25">
      <c r="A772" s="63" t="s">
        <v>8</v>
      </c>
      <c r="B772" s="71" t="s">
        <v>2703</v>
      </c>
      <c r="C772" s="59">
        <v>4058075771994</v>
      </c>
      <c r="D772" s="84"/>
      <c r="E772" s="85"/>
      <c r="F772" s="16"/>
      <c r="G772" s="156" t="str">
        <f>HYPERLINK("https://ledvance.com/pt/product-datasheet/226666/207544","Ficha Técnica")</f>
        <v>Ficha Técnica</v>
      </c>
      <c r="H772" s="15">
        <v>4</v>
      </c>
      <c r="I772" s="163">
        <v>12100</v>
      </c>
      <c r="J772" s="15">
        <v>70</v>
      </c>
      <c r="K772" s="163" t="s">
        <v>153</v>
      </c>
      <c r="L772" s="15">
        <v>5</v>
      </c>
      <c r="M772" s="188">
        <v>204.4</v>
      </c>
      <c r="N772" s="169" t="s">
        <v>11</v>
      </c>
    </row>
    <row r="773" spans="1:14" x14ac:dyDescent="0.25">
      <c r="A773" s="63" t="s">
        <v>8</v>
      </c>
      <c r="B773" s="71" t="s">
        <v>2704</v>
      </c>
      <c r="C773" s="59">
        <v>4099854190896</v>
      </c>
      <c r="D773" s="103"/>
      <c r="E773" s="104"/>
      <c r="F773" s="16"/>
      <c r="G773" s="156" t="str">
        <f>HYPERLINK("https://ledvance.com/pt/product-datasheet/226666/273020","Ficha Técnica")</f>
        <v>Ficha Técnica</v>
      </c>
      <c r="H773" s="15">
        <v>4</v>
      </c>
      <c r="I773" s="163">
        <v>12100</v>
      </c>
      <c r="J773" s="15">
        <v>70</v>
      </c>
      <c r="K773" s="163" t="s">
        <v>153</v>
      </c>
      <c r="L773" s="15">
        <v>5</v>
      </c>
      <c r="M773" s="188">
        <v>204.4</v>
      </c>
      <c r="N773" s="169" t="s">
        <v>11</v>
      </c>
    </row>
    <row r="774" spans="1:14" x14ac:dyDescent="0.25">
      <c r="A774" s="66" t="s">
        <v>8</v>
      </c>
      <c r="B774" s="69" t="s">
        <v>219</v>
      </c>
      <c r="C774" s="20"/>
      <c r="D774" s="65"/>
      <c r="E774" s="86"/>
      <c r="F774" s="12"/>
      <c r="G774" s="157"/>
      <c r="H774" s="12"/>
      <c r="I774" s="62"/>
      <c r="J774" s="27"/>
      <c r="K774" s="62"/>
      <c r="L774" s="12"/>
      <c r="M774" s="191"/>
      <c r="N774" s="65"/>
    </row>
    <row r="775" spans="1:14" x14ac:dyDescent="0.25">
      <c r="A775" s="63" t="s">
        <v>8</v>
      </c>
      <c r="B775" s="71" t="s">
        <v>2705</v>
      </c>
      <c r="C775" s="59">
        <v>4058075770799</v>
      </c>
      <c r="D775" s="84"/>
      <c r="E775" s="85"/>
      <c r="F775" s="16"/>
      <c r="G775" s="156" t="str">
        <f>HYPERLINK("https://ledvance.com/pt/product-datasheet/226661/207522","Ficha Técnica")</f>
        <v>Ficha Técnica</v>
      </c>
      <c r="H775" s="15">
        <v>4</v>
      </c>
      <c r="I775" s="163">
        <v>5700</v>
      </c>
      <c r="J775" s="15">
        <v>35</v>
      </c>
      <c r="K775" s="163" t="s">
        <v>153</v>
      </c>
      <c r="L775" s="15">
        <v>5</v>
      </c>
      <c r="M775" s="188">
        <v>219.2</v>
      </c>
      <c r="N775" s="169" t="s">
        <v>11</v>
      </c>
    </row>
    <row r="776" spans="1:14" x14ac:dyDescent="0.25">
      <c r="A776" s="63" t="s">
        <v>8</v>
      </c>
      <c r="B776" s="77" t="s">
        <v>2706</v>
      </c>
      <c r="C776" s="59">
        <v>4099854191039</v>
      </c>
      <c r="D776" s="103"/>
      <c r="E776" s="104"/>
      <c r="F776" s="16"/>
      <c r="G776" s="156" t="str">
        <f>HYPERLINK("https://ledvance.com/pt/product-datasheet/226661/273041","Ficha Técnica")</f>
        <v>Ficha Técnica</v>
      </c>
      <c r="H776" s="15">
        <v>4</v>
      </c>
      <c r="I776" s="163">
        <v>5700</v>
      </c>
      <c r="J776" s="15">
        <v>35</v>
      </c>
      <c r="K776" s="163" t="s">
        <v>153</v>
      </c>
      <c r="L776" s="15">
        <v>5</v>
      </c>
      <c r="M776" s="188">
        <v>219.2</v>
      </c>
      <c r="N776" s="169" t="s">
        <v>11</v>
      </c>
    </row>
    <row r="777" spans="1:14" x14ac:dyDescent="0.25">
      <c r="A777" s="63" t="s">
        <v>8</v>
      </c>
      <c r="B777" s="71" t="s">
        <v>2707</v>
      </c>
      <c r="C777" s="59">
        <v>4058075770812</v>
      </c>
      <c r="D777" s="84"/>
      <c r="E777" s="85"/>
      <c r="F777" s="16"/>
      <c r="G777" s="156" t="str">
        <f>HYPERLINK("https://ledvance.com/pt/product-datasheet/226662/207525","Ficha Técnica")</f>
        <v>Ficha Técnica</v>
      </c>
      <c r="H777" s="15">
        <v>4</v>
      </c>
      <c r="I777" s="163">
        <v>5800</v>
      </c>
      <c r="J777" s="15">
        <v>35</v>
      </c>
      <c r="K777" s="163" t="s">
        <v>153</v>
      </c>
      <c r="L777" s="15">
        <v>5</v>
      </c>
      <c r="M777" s="188">
        <v>219.2</v>
      </c>
      <c r="N777" s="169" t="s">
        <v>11</v>
      </c>
    </row>
    <row r="778" spans="1:14" x14ac:dyDescent="0.25">
      <c r="A778" s="63" t="s">
        <v>8</v>
      </c>
      <c r="B778" s="77" t="s">
        <v>2708</v>
      </c>
      <c r="C778" s="59">
        <v>4099854191053</v>
      </c>
      <c r="D778" s="103"/>
      <c r="E778" s="104"/>
      <c r="F778" s="16"/>
      <c r="G778" s="156" t="str">
        <f>HYPERLINK("https://ledvance.com/pt/product-datasheet/226662/273044","Ficha Técnica")</f>
        <v>Ficha Técnica</v>
      </c>
      <c r="H778" s="15">
        <v>4</v>
      </c>
      <c r="I778" s="163">
        <v>5800</v>
      </c>
      <c r="J778" s="15">
        <v>35</v>
      </c>
      <c r="K778" s="163" t="s">
        <v>153</v>
      </c>
      <c r="L778" s="15">
        <v>5</v>
      </c>
      <c r="M778" s="188">
        <v>219.2</v>
      </c>
      <c r="N778" s="169" t="s">
        <v>11</v>
      </c>
    </row>
    <row r="779" spans="1:14" x14ac:dyDescent="0.25">
      <c r="A779" s="63" t="s">
        <v>8</v>
      </c>
      <c r="B779" s="71" t="s">
        <v>2709</v>
      </c>
      <c r="C779" s="59">
        <v>4058075770898</v>
      </c>
      <c r="D779" s="84"/>
      <c r="E779" s="85"/>
      <c r="F779" s="16"/>
      <c r="G779" s="156" t="str">
        <f>HYPERLINK("https://ledvance.com/pt/product-datasheet/226663/207547","Ficha Técnica")</f>
        <v>Ficha Técnica</v>
      </c>
      <c r="H779" s="15">
        <v>4</v>
      </c>
      <c r="I779" s="163">
        <v>5600</v>
      </c>
      <c r="J779" s="15">
        <v>35</v>
      </c>
      <c r="K779" s="163" t="s">
        <v>153</v>
      </c>
      <c r="L779" s="15">
        <v>5</v>
      </c>
      <c r="M779" s="188">
        <v>225.1</v>
      </c>
      <c r="N779" s="169" t="s">
        <v>11</v>
      </c>
    </row>
    <row r="780" spans="1:14" x14ac:dyDescent="0.25">
      <c r="A780" s="63" t="s">
        <v>8</v>
      </c>
      <c r="B780" s="77" t="s">
        <v>2710</v>
      </c>
      <c r="C780" s="59">
        <v>4099854191138</v>
      </c>
      <c r="D780" s="103"/>
      <c r="E780" s="104"/>
      <c r="F780" s="16"/>
      <c r="G780" s="156" t="str">
        <f>HYPERLINK("https://ledvance.com/pt/product-datasheet/226663/273056","Ficha Técnica")</f>
        <v>Ficha Técnica</v>
      </c>
      <c r="H780" s="15">
        <v>4</v>
      </c>
      <c r="I780" s="163">
        <v>5600</v>
      </c>
      <c r="J780" s="15">
        <v>35</v>
      </c>
      <c r="K780" s="163" t="s">
        <v>153</v>
      </c>
      <c r="L780" s="15">
        <v>5</v>
      </c>
      <c r="M780" s="188">
        <v>225.1</v>
      </c>
      <c r="N780" s="169" t="s">
        <v>11</v>
      </c>
    </row>
    <row r="781" spans="1:14" x14ac:dyDescent="0.25">
      <c r="A781" s="63" t="s">
        <v>8</v>
      </c>
      <c r="B781" s="77" t="s">
        <v>2711</v>
      </c>
      <c r="C781" s="59">
        <v>4099854191176</v>
      </c>
      <c r="D781" s="103"/>
      <c r="E781" s="104"/>
      <c r="F781" s="16"/>
      <c r="G781" s="156" t="str">
        <f>HYPERLINK("https://ledvance.com/pt/product-datasheet/280270/273062","Ficha Técnica")</f>
        <v>Ficha Técnica</v>
      </c>
      <c r="H781" s="15">
        <v>4</v>
      </c>
      <c r="I781" s="163">
        <v>5700</v>
      </c>
      <c r="J781" s="15">
        <v>35</v>
      </c>
      <c r="K781" s="163" t="s">
        <v>153</v>
      </c>
      <c r="L781" s="15">
        <v>5</v>
      </c>
      <c r="M781" s="188">
        <v>219.2</v>
      </c>
      <c r="N781" s="169" t="s">
        <v>11</v>
      </c>
    </row>
    <row r="782" spans="1:14" x14ac:dyDescent="0.25">
      <c r="A782" s="63" t="s">
        <v>8</v>
      </c>
      <c r="B782" s="77" t="s">
        <v>2712</v>
      </c>
      <c r="C782" s="59">
        <v>4099854191152</v>
      </c>
      <c r="D782" s="103"/>
      <c r="E782" s="104"/>
      <c r="F782" s="16"/>
      <c r="G782" s="156" t="str">
        <f>HYPERLINK("https://ledvance.com/pt/product-datasheet/280270/273059","Ficha Técnica")</f>
        <v>Ficha Técnica</v>
      </c>
      <c r="H782" s="15">
        <v>4</v>
      </c>
      <c r="I782" s="163">
        <v>5700</v>
      </c>
      <c r="J782" s="15">
        <v>35</v>
      </c>
      <c r="K782" s="163" t="s">
        <v>153</v>
      </c>
      <c r="L782" s="15">
        <v>5</v>
      </c>
      <c r="M782" s="188">
        <v>219.2</v>
      </c>
      <c r="N782" s="169" t="s">
        <v>11</v>
      </c>
    </row>
    <row r="783" spans="1:14" x14ac:dyDescent="0.25">
      <c r="A783" s="63" t="s">
        <v>8</v>
      </c>
      <c r="B783" s="71" t="s">
        <v>2713</v>
      </c>
      <c r="C783" s="59">
        <v>4058075770836</v>
      </c>
      <c r="D783" s="84"/>
      <c r="E783" s="85"/>
      <c r="F783" s="16"/>
      <c r="G783" s="156" t="str">
        <f>HYPERLINK("https://ledvance.com/pt/product-datasheet/226664/207531","Ficha Técnica")</f>
        <v>Ficha Técnica</v>
      </c>
      <c r="H783" s="15">
        <v>4</v>
      </c>
      <c r="I783" s="163">
        <v>5800</v>
      </c>
      <c r="J783" s="15">
        <v>35</v>
      </c>
      <c r="K783" s="163" t="s">
        <v>153</v>
      </c>
      <c r="L783" s="15">
        <v>5</v>
      </c>
      <c r="M783" s="188">
        <v>219.2</v>
      </c>
      <c r="N783" s="169" t="s">
        <v>11</v>
      </c>
    </row>
    <row r="784" spans="1:14" x14ac:dyDescent="0.25">
      <c r="A784" s="63" t="s">
        <v>8</v>
      </c>
      <c r="B784" s="77" t="s">
        <v>2714</v>
      </c>
      <c r="C784" s="59">
        <v>4099854191077</v>
      </c>
      <c r="D784" s="103"/>
      <c r="E784" s="104"/>
      <c r="F784" s="16"/>
      <c r="G784" s="156" t="str">
        <f>HYPERLINK("https://ledvance.com/pt/product-datasheet/226664/273047","Ficha Técnica")</f>
        <v>Ficha Técnica</v>
      </c>
      <c r="H784" s="15">
        <v>4</v>
      </c>
      <c r="I784" s="163">
        <v>5800</v>
      </c>
      <c r="J784" s="15">
        <v>35</v>
      </c>
      <c r="K784" s="163" t="s">
        <v>153</v>
      </c>
      <c r="L784" s="15">
        <v>5</v>
      </c>
      <c r="M784" s="188">
        <v>219.2</v>
      </c>
      <c r="N784" s="169" t="s">
        <v>11</v>
      </c>
    </row>
    <row r="785" spans="1:14" x14ac:dyDescent="0.25">
      <c r="A785" s="63" t="s">
        <v>8</v>
      </c>
      <c r="B785" s="71" t="s">
        <v>2715</v>
      </c>
      <c r="C785" s="59">
        <v>4058075770850</v>
      </c>
      <c r="D785" s="84"/>
      <c r="E785" s="85"/>
      <c r="F785" s="16"/>
      <c r="G785" s="156" t="str">
        <f>HYPERLINK("https://ledvance.com/pt/product-datasheet/226665/207537","Ficha Técnica")</f>
        <v>Ficha Técnica</v>
      </c>
      <c r="H785" s="15">
        <v>4</v>
      </c>
      <c r="I785" s="163">
        <v>5800</v>
      </c>
      <c r="J785" s="15">
        <v>35</v>
      </c>
      <c r="K785" s="163" t="s">
        <v>153</v>
      </c>
      <c r="L785" s="15">
        <v>5</v>
      </c>
      <c r="M785" s="188">
        <v>219.2</v>
      </c>
      <c r="N785" s="169" t="s">
        <v>11</v>
      </c>
    </row>
    <row r="786" spans="1:14" x14ac:dyDescent="0.25">
      <c r="A786" s="63" t="s">
        <v>8</v>
      </c>
      <c r="B786" s="77" t="s">
        <v>2716</v>
      </c>
      <c r="C786" s="59">
        <v>4099854191091</v>
      </c>
      <c r="D786" s="103"/>
      <c r="E786" s="104"/>
      <c r="F786" s="16"/>
      <c r="G786" s="156" t="str">
        <f>HYPERLINK("https://ledvance.com/pt/product-datasheet/226665/273050","Ficha Técnica")</f>
        <v>Ficha Técnica</v>
      </c>
      <c r="H786" s="15">
        <v>4</v>
      </c>
      <c r="I786" s="163">
        <v>5800</v>
      </c>
      <c r="J786" s="15">
        <v>35</v>
      </c>
      <c r="K786" s="163" t="s">
        <v>153</v>
      </c>
      <c r="L786" s="15">
        <v>5</v>
      </c>
      <c r="M786" s="188">
        <v>219.2</v>
      </c>
      <c r="N786" s="169" t="s">
        <v>11</v>
      </c>
    </row>
    <row r="787" spans="1:14" x14ac:dyDescent="0.25">
      <c r="A787" s="63" t="s">
        <v>8</v>
      </c>
      <c r="B787" s="71" t="s">
        <v>2717</v>
      </c>
      <c r="C787" s="59">
        <v>4058075770874</v>
      </c>
      <c r="D787" s="84"/>
      <c r="E787" s="85"/>
      <c r="F787" s="16"/>
      <c r="G787" s="156" t="str">
        <f>HYPERLINK("https://ledvance.com/pt/product-datasheet/226666/207541","Ficha Técnica")</f>
        <v>Ficha Técnica</v>
      </c>
      <c r="H787" s="15">
        <v>4</v>
      </c>
      <c r="I787" s="163">
        <v>5700</v>
      </c>
      <c r="J787" s="15">
        <v>35</v>
      </c>
      <c r="K787" s="163" t="s">
        <v>153</v>
      </c>
      <c r="L787" s="15">
        <v>5</v>
      </c>
      <c r="M787" s="188">
        <v>219.2</v>
      </c>
      <c r="N787" s="169" t="s">
        <v>11</v>
      </c>
    </row>
    <row r="788" spans="1:14" x14ac:dyDescent="0.25">
      <c r="A788" s="63" t="s">
        <v>8</v>
      </c>
      <c r="B788" s="77" t="s">
        <v>2718</v>
      </c>
      <c r="C788" s="59">
        <v>4099854191114</v>
      </c>
      <c r="D788" s="103"/>
      <c r="E788" s="104"/>
      <c r="F788" s="16"/>
      <c r="G788" s="156" t="str">
        <f>HYPERLINK("https://ledvance.com/pt/product-datasheet/226666/273053","Ficha Técnica")</f>
        <v>Ficha Técnica</v>
      </c>
      <c r="H788" s="15">
        <v>4</v>
      </c>
      <c r="I788" s="163">
        <v>5700</v>
      </c>
      <c r="J788" s="15">
        <v>35</v>
      </c>
      <c r="K788" s="163" t="s">
        <v>153</v>
      </c>
      <c r="L788" s="15">
        <v>5</v>
      </c>
      <c r="M788" s="188">
        <v>219.2</v>
      </c>
      <c r="N788" s="169" t="s">
        <v>11</v>
      </c>
    </row>
    <row r="789" spans="1:14" x14ac:dyDescent="0.25">
      <c r="A789" s="63" t="s">
        <v>8</v>
      </c>
      <c r="B789" s="71" t="s">
        <v>2719</v>
      </c>
      <c r="C789" s="59">
        <v>4058075770911</v>
      </c>
      <c r="D789" s="84"/>
      <c r="E789" s="85"/>
      <c r="F789" s="16"/>
      <c r="G789" s="156" t="str">
        <f>HYPERLINK("https://ledvance.com/pt/product-datasheet/226661/207551","Ficha Técnica")</f>
        <v>Ficha Técnica</v>
      </c>
      <c r="H789" s="15">
        <v>4</v>
      </c>
      <c r="I789" s="163">
        <v>8600</v>
      </c>
      <c r="J789" s="15">
        <v>50</v>
      </c>
      <c r="K789" s="163" t="s">
        <v>153</v>
      </c>
      <c r="L789" s="15">
        <v>5</v>
      </c>
      <c r="M789" s="188">
        <v>236.9</v>
      </c>
      <c r="N789" s="169" t="s">
        <v>11</v>
      </c>
    </row>
    <row r="790" spans="1:14" x14ac:dyDescent="0.25">
      <c r="A790" s="63" t="s">
        <v>8</v>
      </c>
      <c r="B790" s="77" t="s">
        <v>2720</v>
      </c>
      <c r="C790" s="59">
        <v>4099854191190</v>
      </c>
      <c r="D790" s="103"/>
      <c r="E790" s="104"/>
      <c r="F790" s="16"/>
      <c r="G790" s="156" t="str">
        <f>HYPERLINK("https://ledvance.com/pt/product-datasheet/226661/273065","Ficha Técnica")</f>
        <v>Ficha Técnica</v>
      </c>
      <c r="H790" s="15">
        <v>4</v>
      </c>
      <c r="I790" s="163">
        <v>8600</v>
      </c>
      <c r="J790" s="15">
        <v>50</v>
      </c>
      <c r="K790" s="163" t="s">
        <v>153</v>
      </c>
      <c r="L790" s="15">
        <v>5</v>
      </c>
      <c r="M790" s="188">
        <v>236.9</v>
      </c>
      <c r="N790" s="169" t="s">
        <v>11</v>
      </c>
    </row>
    <row r="791" spans="1:14" x14ac:dyDescent="0.25">
      <c r="A791" s="63" t="s">
        <v>8</v>
      </c>
      <c r="B791" s="71" t="s">
        <v>2721</v>
      </c>
      <c r="C791" s="59">
        <v>4058075770935</v>
      </c>
      <c r="D791" s="84"/>
      <c r="E791" s="85"/>
      <c r="F791" s="16"/>
      <c r="G791" s="156" t="str">
        <f>HYPERLINK("https://ledvance.com/pt/product-datasheet/226662/207554","Ficha Técnica")</f>
        <v>Ficha Técnica</v>
      </c>
      <c r="H791" s="15">
        <v>4</v>
      </c>
      <c r="I791" s="163">
        <v>8600</v>
      </c>
      <c r="J791" s="15">
        <v>50</v>
      </c>
      <c r="K791" s="163" t="s">
        <v>153</v>
      </c>
      <c r="L791" s="15">
        <v>5</v>
      </c>
      <c r="M791" s="188">
        <v>236.9</v>
      </c>
      <c r="N791" s="169" t="s">
        <v>11</v>
      </c>
    </row>
    <row r="792" spans="1:14" x14ac:dyDescent="0.25">
      <c r="A792" s="63" t="s">
        <v>8</v>
      </c>
      <c r="B792" s="77" t="s">
        <v>2722</v>
      </c>
      <c r="C792" s="59">
        <v>4099854191312</v>
      </c>
      <c r="D792" s="103"/>
      <c r="E792" s="104"/>
      <c r="F792" s="16"/>
      <c r="G792" s="156" t="str">
        <f>HYPERLINK("https://ledvance.com/pt/product-datasheet/226662/273068","Ficha Técnica")</f>
        <v>Ficha Técnica</v>
      </c>
      <c r="H792" s="15">
        <v>4</v>
      </c>
      <c r="I792" s="163">
        <v>8600</v>
      </c>
      <c r="J792" s="15">
        <v>50</v>
      </c>
      <c r="K792" s="163" t="s">
        <v>153</v>
      </c>
      <c r="L792" s="15">
        <v>5</v>
      </c>
      <c r="M792" s="188">
        <v>236.9</v>
      </c>
      <c r="N792" s="169" t="s">
        <v>11</v>
      </c>
    </row>
    <row r="793" spans="1:14" x14ac:dyDescent="0.25">
      <c r="A793" s="63" t="s">
        <v>8</v>
      </c>
      <c r="B793" s="71" t="s">
        <v>2723</v>
      </c>
      <c r="C793" s="59">
        <v>4058075771031</v>
      </c>
      <c r="D793" s="84"/>
      <c r="E793" s="85"/>
      <c r="F793" s="16"/>
      <c r="G793" s="156" t="str">
        <f>HYPERLINK("https://ledvance.com/pt/product-datasheet/226663/207566","Ficha Técnica")</f>
        <v>Ficha Técnica</v>
      </c>
      <c r="H793" s="15">
        <v>4</v>
      </c>
      <c r="I793" s="163">
        <v>8300</v>
      </c>
      <c r="J793" s="15">
        <v>50</v>
      </c>
      <c r="K793" s="163" t="s">
        <v>153</v>
      </c>
      <c r="L793" s="15">
        <v>5</v>
      </c>
      <c r="M793" s="188">
        <v>245.6</v>
      </c>
      <c r="N793" s="169" t="s">
        <v>11</v>
      </c>
    </row>
    <row r="794" spans="1:14" x14ac:dyDescent="0.25">
      <c r="A794" s="63" t="s">
        <v>8</v>
      </c>
      <c r="B794" s="77" t="s">
        <v>2724</v>
      </c>
      <c r="C794" s="59">
        <v>4099854191398</v>
      </c>
      <c r="D794" s="103"/>
      <c r="E794" s="104"/>
      <c r="F794" s="16"/>
      <c r="G794" s="156" t="str">
        <f>HYPERLINK("https://ledvance.com/pt/product-datasheet/226663/273080","Ficha Técnica")</f>
        <v>Ficha Técnica</v>
      </c>
      <c r="H794" s="15">
        <v>4</v>
      </c>
      <c r="I794" s="163">
        <v>8300</v>
      </c>
      <c r="J794" s="15">
        <v>50</v>
      </c>
      <c r="K794" s="163" t="s">
        <v>153</v>
      </c>
      <c r="L794" s="15">
        <v>5</v>
      </c>
      <c r="M794" s="188">
        <v>245.6</v>
      </c>
      <c r="N794" s="169" t="s">
        <v>11</v>
      </c>
    </row>
    <row r="795" spans="1:14" x14ac:dyDescent="0.25">
      <c r="A795" s="63" t="s">
        <v>8</v>
      </c>
      <c r="B795" s="77" t="s">
        <v>2725</v>
      </c>
      <c r="C795" s="59">
        <v>4099854191435</v>
      </c>
      <c r="D795" s="103"/>
      <c r="E795" s="104"/>
      <c r="F795" s="16"/>
      <c r="G795" s="156" t="str">
        <f>HYPERLINK("https://ledvance.com/pt/product-datasheet/280270/273086","Ficha Técnica")</f>
        <v>Ficha Técnica</v>
      </c>
      <c r="H795" s="15">
        <v>4</v>
      </c>
      <c r="I795" s="163">
        <v>8600</v>
      </c>
      <c r="J795" s="15">
        <v>50</v>
      </c>
      <c r="K795" s="163" t="s">
        <v>153</v>
      </c>
      <c r="L795" s="15">
        <v>5</v>
      </c>
      <c r="M795" s="188">
        <v>236.9</v>
      </c>
      <c r="N795" s="169" t="s">
        <v>11</v>
      </c>
    </row>
    <row r="796" spans="1:14" x14ac:dyDescent="0.25">
      <c r="A796" s="63" t="s">
        <v>8</v>
      </c>
      <c r="B796" s="77" t="s">
        <v>2726</v>
      </c>
      <c r="C796" s="59">
        <v>4099854191411</v>
      </c>
      <c r="D796" s="103"/>
      <c r="E796" s="104"/>
      <c r="F796" s="16"/>
      <c r="G796" s="156" t="str">
        <f>HYPERLINK("https://ledvance.com/pt/product-datasheet/280270/273083","Ficha Técnica")</f>
        <v>Ficha Técnica</v>
      </c>
      <c r="H796" s="15">
        <v>4</v>
      </c>
      <c r="I796" s="163">
        <v>8600</v>
      </c>
      <c r="J796" s="15">
        <v>50</v>
      </c>
      <c r="K796" s="163" t="s">
        <v>153</v>
      </c>
      <c r="L796" s="15">
        <v>5</v>
      </c>
      <c r="M796" s="188">
        <v>236.9</v>
      </c>
      <c r="N796" s="169" t="s">
        <v>11</v>
      </c>
    </row>
    <row r="797" spans="1:14" x14ac:dyDescent="0.25">
      <c r="A797" s="63" t="s">
        <v>8</v>
      </c>
      <c r="B797" s="71" t="s">
        <v>2727</v>
      </c>
      <c r="C797" s="59">
        <v>4058075770959</v>
      </c>
      <c r="D797" s="84"/>
      <c r="E797" s="85"/>
      <c r="F797" s="16"/>
      <c r="G797" s="156" t="str">
        <f>HYPERLINK("https://ledvance.com/pt/product-datasheet/226664/207557","Ficha Técnica")</f>
        <v>Ficha Técnica</v>
      </c>
      <c r="H797" s="15">
        <v>4</v>
      </c>
      <c r="I797" s="163">
        <v>8600</v>
      </c>
      <c r="J797" s="15">
        <v>50</v>
      </c>
      <c r="K797" s="163" t="s">
        <v>153</v>
      </c>
      <c r="L797" s="15">
        <v>5</v>
      </c>
      <c r="M797" s="188">
        <v>236.9</v>
      </c>
      <c r="N797" s="169" t="s">
        <v>11</v>
      </c>
    </row>
    <row r="798" spans="1:14" x14ac:dyDescent="0.25">
      <c r="A798" s="63" t="s">
        <v>8</v>
      </c>
      <c r="B798" s="77" t="s">
        <v>2728</v>
      </c>
      <c r="C798" s="59">
        <v>4099854191336</v>
      </c>
      <c r="D798" s="103"/>
      <c r="E798" s="104"/>
      <c r="F798" s="16"/>
      <c r="G798" s="156" t="str">
        <f>HYPERLINK("https://ledvance.com/pt/product-datasheet/226664/273071","Ficha Técnica")</f>
        <v>Ficha Técnica</v>
      </c>
      <c r="H798" s="15">
        <v>4</v>
      </c>
      <c r="I798" s="163">
        <v>8600</v>
      </c>
      <c r="J798" s="15">
        <v>50</v>
      </c>
      <c r="K798" s="163" t="s">
        <v>153</v>
      </c>
      <c r="L798" s="15">
        <v>5</v>
      </c>
      <c r="M798" s="188">
        <v>236.9</v>
      </c>
      <c r="N798" s="169" t="s">
        <v>11</v>
      </c>
    </row>
    <row r="799" spans="1:14" x14ac:dyDescent="0.25">
      <c r="A799" s="63" t="s">
        <v>8</v>
      </c>
      <c r="B799" s="71" t="s">
        <v>2729</v>
      </c>
      <c r="C799" s="59">
        <v>4058075770973</v>
      </c>
      <c r="D799" s="84"/>
      <c r="E799" s="85"/>
      <c r="F799" s="16"/>
      <c r="G799" s="156" t="str">
        <f>HYPERLINK("https://ledvance.com/pt/product-datasheet/226665/207560","Ficha Técnica")</f>
        <v>Ficha Técnica</v>
      </c>
      <c r="H799" s="15">
        <v>4</v>
      </c>
      <c r="I799" s="163">
        <v>8600</v>
      </c>
      <c r="J799" s="15">
        <v>50</v>
      </c>
      <c r="K799" s="163" t="s">
        <v>153</v>
      </c>
      <c r="L799" s="15">
        <v>5</v>
      </c>
      <c r="M799" s="188">
        <v>236.9</v>
      </c>
      <c r="N799" s="169" t="s">
        <v>11</v>
      </c>
    </row>
    <row r="800" spans="1:14" x14ac:dyDescent="0.25">
      <c r="A800" s="63" t="s">
        <v>8</v>
      </c>
      <c r="B800" s="77" t="s">
        <v>2730</v>
      </c>
      <c r="C800" s="59">
        <v>4099854191350</v>
      </c>
      <c r="D800" s="103"/>
      <c r="E800" s="104"/>
      <c r="F800" s="16"/>
      <c r="G800" s="156" t="str">
        <f>HYPERLINK("https://ledvance.com/pt/product-datasheet/226665/273074","Ficha Técnica")</f>
        <v>Ficha Técnica</v>
      </c>
      <c r="H800" s="15">
        <v>4</v>
      </c>
      <c r="I800" s="163">
        <v>8600</v>
      </c>
      <c r="J800" s="15">
        <v>50</v>
      </c>
      <c r="K800" s="163" t="s">
        <v>153</v>
      </c>
      <c r="L800" s="15">
        <v>5</v>
      </c>
      <c r="M800" s="188">
        <v>236.9</v>
      </c>
      <c r="N800" s="169" t="s">
        <v>11</v>
      </c>
    </row>
    <row r="801" spans="1:14" x14ac:dyDescent="0.25">
      <c r="A801" s="63" t="s">
        <v>8</v>
      </c>
      <c r="B801" s="71" t="s">
        <v>2731</v>
      </c>
      <c r="C801" s="59">
        <v>4058075770997</v>
      </c>
      <c r="D801" s="84"/>
      <c r="E801" s="85"/>
      <c r="F801" s="16"/>
      <c r="G801" s="156" t="str">
        <f>HYPERLINK("https://ledvance.com/pt/product-datasheet/226666/207563","Ficha Técnica")</f>
        <v>Ficha Técnica</v>
      </c>
      <c r="H801" s="15">
        <v>4</v>
      </c>
      <c r="I801" s="163">
        <v>8600</v>
      </c>
      <c r="J801" s="15">
        <v>50</v>
      </c>
      <c r="K801" s="163" t="s">
        <v>153</v>
      </c>
      <c r="L801" s="15">
        <v>5</v>
      </c>
      <c r="M801" s="188">
        <v>236.9</v>
      </c>
      <c r="N801" s="169" t="s">
        <v>11</v>
      </c>
    </row>
    <row r="802" spans="1:14" x14ac:dyDescent="0.25">
      <c r="A802" s="63" t="s">
        <v>8</v>
      </c>
      <c r="B802" s="77" t="s">
        <v>2732</v>
      </c>
      <c r="C802" s="59">
        <v>4099854191374</v>
      </c>
      <c r="D802" s="103"/>
      <c r="E802" s="104"/>
      <c r="F802" s="16"/>
      <c r="G802" s="156" t="str">
        <f>HYPERLINK("https://ledvance.com/pt/product-datasheet/226666/273077","Ficha Técnica")</f>
        <v>Ficha Técnica</v>
      </c>
      <c r="H802" s="15">
        <v>4</v>
      </c>
      <c r="I802" s="163">
        <v>8600</v>
      </c>
      <c r="J802" s="15">
        <v>50</v>
      </c>
      <c r="K802" s="163" t="s">
        <v>153</v>
      </c>
      <c r="L802" s="15">
        <v>5</v>
      </c>
      <c r="M802" s="188">
        <v>236.9</v>
      </c>
      <c r="N802" s="169" t="s">
        <v>11</v>
      </c>
    </row>
    <row r="803" spans="1:14" x14ac:dyDescent="0.25">
      <c r="A803" s="63" t="s">
        <v>8</v>
      </c>
      <c r="B803" s="71" t="s">
        <v>2733</v>
      </c>
      <c r="C803" s="59">
        <v>4058075771055</v>
      </c>
      <c r="D803" s="84"/>
      <c r="E803" s="85"/>
      <c r="F803" s="16"/>
      <c r="G803" s="156" t="str">
        <f>HYPERLINK("https://ledvance.com/pt/product-datasheet/226661/207569","Ficha Técnica")</f>
        <v>Ficha Técnica</v>
      </c>
      <c r="H803" s="15">
        <v>4</v>
      </c>
      <c r="I803" s="163">
        <v>12100</v>
      </c>
      <c r="J803" s="15">
        <v>70</v>
      </c>
      <c r="K803" s="163" t="s">
        <v>153</v>
      </c>
      <c r="L803" s="15">
        <v>5</v>
      </c>
      <c r="M803" s="188">
        <v>269.5</v>
      </c>
      <c r="N803" s="169" t="s">
        <v>11</v>
      </c>
    </row>
    <row r="804" spans="1:14" x14ac:dyDescent="0.25">
      <c r="A804" s="63" t="s">
        <v>8</v>
      </c>
      <c r="B804" s="77" t="s">
        <v>2734</v>
      </c>
      <c r="C804" s="59">
        <v>4099854191459</v>
      </c>
      <c r="D804" s="103"/>
      <c r="E804" s="104"/>
      <c r="F804" s="16"/>
      <c r="G804" s="156" t="str">
        <f>HYPERLINK("https://ledvance.com/pt/product-datasheet/226661/273089","Ficha Técnica")</f>
        <v>Ficha Técnica</v>
      </c>
      <c r="H804" s="15">
        <v>4</v>
      </c>
      <c r="I804" s="163">
        <v>12100</v>
      </c>
      <c r="J804" s="15">
        <v>70</v>
      </c>
      <c r="K804" s="163" t="s">
        <v>153</v>
      </c>
      <c r="L804" s="15">
        <v>5</v>
      </c>
      <c r="M804" s="188">
        <v>269.5</v>
      </c>
      <c r="N804" s="169" t="s">
        <v>11</v>
      </c>
    </row>
    <row r="805" spans="1:14" x14ac:dyDescent="0.25">
      <c r="A805" s="63" t="s">
        <v>8</v>
      </c>
      <c r="B805" s="71" t="s">
        <v>2735</v>
      </c>
      <c r="C805" s="59">
        <v>4058075771079</v>
      </c>
      <c r="D805" s="84"/>
      <c r="E805" s="85"/>
      <c r="F805" s="16"/>
      <c r="G805" s="156" t="str">
        <f>HYPERLINK("https://ledvance.com/pt/product-datasheet/226662/207572","Ficha Técnica")</f>
        <v>Ficha Técnica</v>
      </c>
      <c r="H805" s="15">
        <v>4</v>
      </c>
      <c r="I805" s="163">
        <v>12100</v>
      </c>
      <c r="J805" s="15">
        <v>70</v>
      </c>
      <c r="K805" s="163" t="s">
        <v>153</v>
      </c>
      <c r="L805" s="15">
        <v>5</v>
      </c>
      <c r="M805" s="188">
        <v>269.5</v>
      </c>
      <c r="N805" s="169" t="s">
        <v>11</v>
      </c>
    </row>
    <row r="806" spans="1:14" x14ac:dyDescent="0.25">
      <c r="A806" s="63" t="s">
        <v>8</v>
      </c>
      <c r="B806" s="77" t="s">
        <v>2736</v>
      </c>
      <c r="C806" s="59">
        <v>4099854191473</v>
      </c>
      <c r="D806" s="103"/>
      <c r="E806" s="104"/>
      <c r="F806" s="16"/>
      <c r="G806" s="156" t="str">
        <f>HYPERLINK("https://ledvance.com/pt/product-datasheet/226662/273092","Ficha Técnica")</f>
        <v>Ficha Técnica</v>
      </c>
      <c r="H806" s="15">
        <v>4</v>
      </c>
      <c r="I806" s="163">
        <v>12100</v>
      </c>
      <c r="J806" s="15">
        <v>70</v>
      </c>
      <c r="K806" s="163" t="s">
        <v>153</v>
      </c>
      <c r="L806" s="15">
        <v>5</v>
      </c>
      <c r="M806" s="188">
        <v>269.5</v>
      </c>
      <c r="N806" s="169" t="s">
        <v>11</v>
      </c>
    </row>
    <row r="807" spans="1:14" x14ac:dyDescent="0.25">
      <c r="A807" s="63" t="s">
        <v>8</v>
      </c>
      <c r="B807" s="71" t="s">
        <v>2737</v>
      </c>
      <c r="C807" s="59">
        <v>4058075771901</v>
      </c>
      <c r="D807" s="84"/>
      <c r="E807" s="85"/>
      <c r="F807" s="16"/>
      <c r="G807" s="156" t="str">
        <f>HYPERLINK("https://ledvance.com/pt/product-datasheet/226663/207584","Ficha Técnica")</f>
        <v>Ficha Técnica</v>
      </c>
      <c r="H807" s="15">
        <v>4</v>
      </c>
      <c r="I807" s="163">
        <v>11700</v>
      </c>
      <c r="J807" s="15">
        <v>70</v>
      </c>
      <c r="K807" s="163" t="s">
        <v>153</v>
      </c>
      <c r="L807" s="15">
        <v>5</v>
      </c>
      <c r="M807" s="188">
        <v>280.3</v>
      </c>
      <c r="N807" s="169" t="s">
        <v>11</v>
      </c>
    </row>
    <row r="808" spans="1:14" x14ac:dyDescent="0.25">
      <c r="A808" s="63" t="s">
        <v>8</v>
      </c>
      <c r="B808" s="77" t="s">
        <v>2738</v>
      </c>
      <c r="C808" s="59">
        <v>4099854191558</v>
      </c>
      <c r="D808" s="103"/>
      <c r="E808" s="104"/>
      <c r="F808" s="16"/>
      <c r="G808" s="156" t="str">
        <f>HYPERLINK("https://ledvance.com/pt/product-datasheet/226663/273104","Ficha Técnica")</f>
        <v>Ficha Técnica</v>
      </c>
      <c r="H808" s="15">
        <v>4</v>
      </c>
      <c r="I808" s="163">
        <v>11700</v>
      </c>
      <c r="J808" s="15">
        <v>70</v>
      </c>
      <c r="K808" s="163" t="s">
        <v>153</v>
      </c>
      <c r="L808" s="15">
        <v>5</v>
      </c>
      <c r="M808" s="188">
        <v>280.3</v>
      </c>
      <c r="N808" s="169" t="s">
        <v>11</v>
      </c>
    </row>
    <row r="809" spans="1:14" x14ac:dyDescent="0.25">
      <c r="A809" s="63" t="s">
        <v>8</v>
      </c>
      <c r="B809" s="77" t="s">
        <v>2739</v>
      </c>
      <c r="C809" s="59">
        <v>4099854191596</v>
      </c>
      <c r="D809" s="103"/>
      <c r="E809" s="104"/>
      <c r="F809" s="16"/>
      <c r="G809" s="156" t="str">
        <f>HYPERLINK("https://ledvance.com/pt/product-datasheet/280270/273110","Ficha Técnica")</f>
        <v>Ficha Técnica</v>
      </c>
      <c r="H809" s="15">
        <v>4</v>
      </c>
      <c r="I809" s="163">
        <v>12100</v>
      </c>
      <c r="J809" s="15">
        <v>70</v>
      </c>
      <c r="K809" s="163" t="s">
        <v>153</v>
      </c>
      <c r="L809" s="15">
        <v>5</v>
      </c>
      <c r="M809" s="188">
        <v>269.5</v>
      </c>
      <c r="N809" s="169" t="s">
        <v>11</v>
      </c>
    </row>
    <row r="810" spans="1:14" x14ac:dyDescent="0.25">
      <c r="A810" s="63" t="s">
        <v>8</v>
      </c>
      <c r="B810" s="77" t="s">
        <v>2740</v>
      </c>
      <c r="C810" s="59">
        <v>4099854191572</v>
      </c>
      <c r="D810" s="103"/>
      <c r="E810" s="104"/>
      <c r="F810" s="16"/>
      <c r="G810" s="156" t="str">
        <f>HYPERLINK("https://ledvance.com/pt/product-datasheet/280270/273107","Ficha Técnica")</f>
        <v>Ficha Técnica</v>
      </c>
      <c r="H810" s="15">
        <v>4</v>
      </c>
      <c r="I810" s="163">
        <v>12100</v>
      </c>
      <c r="J810" s="15">
        <v>70</v>
      </c>
      <c r="K810" s="163" t="s">
        <v>153</v>
      </c>
      <c r="L810" s="15">
        <v>5</v>
      </c>
      <c r="M810" s="188">
        <v>269.5</v>
      </c>
      <c r="N810" s="169" t="s">
        <v>11</v>
      </c>
    </row>
    <row r="811" spans="1:14" x14ac:dyDescent="0.25">
      <c r="A811" s="63" t="s">
        <v>8</v>
      </c>
      <c r="B811" s="71" t="s">
        <v>2741</v>
      </c>
      <c r="C811" s="59">
        <v>4058075771116</v>
      </c>
      <c r="D811" s="84"/>
      <c r="E811" s="85"/>
      <c r="F811" s="16"/>
      <c r="G811" s="156" t="str">
        <f>HYPERLINK("https://ledvance.com/pt/product-datasheet/226664/207575","Ficha Técnica")</f>
        <v>Ficha Técnica</v>
      </c>
      <c r="H811" s="15">
        <v>4</v>
      </c>
      <c r="I811" s="163">
        <v>12100</v>
      </c>
      <c r="J811" s="15">
        <v>70</v>
      </c>
      <c r="K811" s="163" t="s">
        <v>153</v>
      </c>
      <c r="L811" s="15">
        <v>5</v>
      </c>
      <c r="M811" s="188">
        <v>269.5</v>
      </c>
      <c r="N811" s="169" t="s">
        <v>11</v>
      </c>
    </row>
    <row r="812" spans="1:14" x14ac:dyDescent="0.25">
      <c r="A812" s="63" t="s">
        <v>8</v>
      </c>
      <c r="B812" s="77" t="s">
        <v>2742</v>
      </c>
      <c r="C812" s="59">
        <v>4099854191497</v>
      </c>
      <c r="D812" s="103"/>
      <c r="E812" s="104"/>
      <c r="F812" s="16"/>
      <c r="G812" s="156" t="str">
        <f>HYPERLINK("https://ledvance.com/pt/product-datasheet/226664/273095","Ficha Técnica")</f>
        <v>Ficha Técnica</v>
      </c>
      <c r="H812" s="15">
        <v>4</v>
      </c>
      <c r="I812" s="163">
        <v>12100</v>
      </c>
      <c r="J812" s="15">
        <v>70</v>
      </c>
      <c r="K812" s="163" t="s">
        <v>153</v>
      </c>
      <c r="L812" s="15">
        <v>5</v>
      </c>
      <c r="M812" s="188">
        <v>269.5</v>
      </c>
      <c r="N812" s="169" t="s">
        <v>11</v>
      </c>
    </row>
    <row r="813" spans="1:14" x14ac:dyDescent="0.25">
      <c r="A813" s="63" t="s">
        <v>8</v>
      </c>
      <c r="B813" s="71" t="s">
        <v>2743</v>
      </c>
      <c r="C813" s="59">
        <v>4058075771130</v>
      </c>
      <c r="D813" s="84"/>
      <c r="E813" s="85"/>
      <c r="F813" s="16"/>
      <c r="G813" s="156" t="str">
        <f>HYPERLINK("https://ledvance.com/pt/product-datasheet/226665/207578","Ficha Técnica")</f>
        <v>Ficha Técnica</v>
      </c>
      <c r="H813" s="15">
        <v>4</v>
      </c>
      <c r="I813" s="163">
        <v>12100</v>
      </c>
      <c r="J813" s="15">
        <v>70</v>
      </c>
      <c r="K813" s="163" t="s">
        <v>153</v>
      </c>
      <c r="L813" s="15">
        <v>5</v>
      </c>
      <c r="M813" s="188">
        <v>269.5</v>
      </c>
      <c r="N813" s="169" t="s">
        <v>11</v>
      </c>
    </row>
    <row r="814" spans="1:14" x14ac:dyDescent="0.25">
      <c r="A814" s="63" t="s">
        <v>8</v>
      </c>
      <c r="B814" s="77" t="s">
        <v>2744</v>
      </c>
      <c r="C814" s="59">
        <v>4099854191510</v>
      </c>
      <c r="D814" s="103"/>
      <c r="E814" s="104"/>
      <c r="F814" s="16"/>
      <c r="G814" s="156" t="str">
        <f>HYPERLINK("https://ledvance.com/pt/product-datasheet/226665/273098","Ficha Técnica")</f>
        <v>Ficha Técnica</v>
      </c>
      <c r="H814" s="15">
        <v>4</v>
      </c>
      <c r="I814" s="163">
        <v>12100</v>
      </c>
      <c r="J814" s="15">
        <v>70</v>
      </c>
      <c r="K814" s="163" t="s">
        <v>153</v>
      </c>
      <c r="L814" s="15">
        <v>5</v>
      </c>
      <c r="M814" s="188">
        <v>269.5</v>
      </c>
      <c r="N814" s="169" t="s">
        <v>11</v>
      </c>
    </row>
    <row r="815" spans="1:14" x14ac:dyDescent="0.25">
      <c r="A815" s="63" t="s">
        <v>8</v>
      </c>
      <c r="B815" s="71" t="s">
        <v>2745</v>
      </c>
      <c r="C815" s="59">
        <v>4058075771154</v>
      </c>
      <c r="D815" s="84"/>
      <c r="E815" s="85"/>
      <c r="F815" s="16"/>
      <c r="G815" s="156" t="str">
        <f>HYPERLINK("https://ledvance.com/pt/product-datasheet/226666/207581","Ficha Técnica")</f>
        <v>Ficha Técnica</v>
      </c>
      <c r="H815" s="15">
        <v>4</v>
      </c>
      <c r="I815" s="163">
        <v>12100</v>
      </c>
      <c r="J815" s="15">
        <v>70</v>
      </c>
      <c r="K815" s="163" t="s">
        <v>153</v>
      </c>
      <c r="L815" s="15">
        <v>5</v>
      </c>
      <c r="M815" s="188">
        <v>269.5</v>
      </c>
      <c r="N815" s="169" t="s">
        <v>11</v>
      </c>
    </row>
    <row r="816" spans="1:14" x14ac:dyDescent="0.25">
      <c r="A816" s="63" t="s">
        <v>8</v>
      </c>
      <c r="B816" s="77" t="s">
        <v>2746</v>
      </c>
      <c r="C816" s="59">
        <v>4099854191534</v>
      </c>
      <c r="D816" s="103"/>
      <c r="E816" s="104"/>
      <c r="F816" s="16"/>
      <c r="G816" s="156" t="str">
        <f>HYPERLINK("https://ledvance.com/pt/product-datasheet/226666/273101","Ficha Técnica")</f>
        <v>Ficha Técnica</v>
      </c>
      <c r="H816" s="15">
        <v>4</v>
      </c>
      <c r="I816" s="163">
        <v>12100</v>
      </c>
      <c r="J816" s="15">
        <v>70</v>
      </c>
      <c r="K816" s="163" t="s">
        <v>153</v>
      </c>
      <c r="L816" s="15">
        <v>5</v>
      </c>
      <c r="M816" s="188">
        <v>269.5</v>
      </c>
      <c r="N816" s="169" t="s">
        <v>11</v>
      </c>
    </row>
    <row r="817" spans="1:14" x14ac:dyDescent="0.25">
      <c r="A817" s="66" t="s">
        <v>8</v>
      </c>
      <c r="B817" s="69" t="s">
        <v>220</v>
      </c>
      <c r="C817" s="20"/>
      <c r="D817" s="65"/>
      <c r="E817" s="86"/>
      <c r="F817" s="12"/>
      <c r="G817" s="157"/>
      <c r="H817" s="12"/>
      <c r="I817" s="62"/>
      <c r="J817" s="27"/>
      <c r="K817" s="62"/>
      <c r="L817" s="12"/>
      <c r="M817" s="191"/>
      <c r="N817" s="65"/>
    </row>
    <row r="818" spans="1:14" x14ac:dyDescent="0.25">
      <c r="A818" s="63" t="s">
        <v>8</v>
      </c>
      <c r="B818" s="71" t="s">
        <v>2747</v>
      </c>
      <c r="C818" s="59">
        <v>4058075772878</v>
      </c>
      <c r="D818" s="84"/>
      <c r="E818" s="85"/>
      <c r="F818" s="16"/>
      <c r="G818" s="156" t="str">
        <f>HYPERLINK("https://ledvance.com/pt/product-datasheet/226667/208032","Ficha Técnica")</f>
        <v>Ficha Técnica</v>
      </c>
      <c r="H818" s="15">
        <v>4</v>
      </c>
      <c r="I818" s="163">
        <v>6000</v>
      </c>
      <c r="J818" s="15">
        <v>35</v>
      </c>
      <c r="K818" s="163" t="s">
        <v>153</v>
      </c>
      <c r="L818" s="15">
        <v>3</v>
      </c>
      <c r="M818" s="188">
        <v>305.10000000000002</v>
      </c>
      <c r="N818" s="169" t="s">
        <v>11</v>
      </c>
    </row>
    <row r="819" spans="1:14" x14ac:dyDescent="0.25">
      <c r="A819" s="63" t="s">
        <v>8</v>
      </c>
      <c r="B819" s="77" t="s">
        <v>2748</v>
      </c>
      <c r="C819" s="59">
        <v>4099854191619</v>
      </c>
      <c r="D819" s="103"/>
      <c r="E819" s="104"/>
      <c r="F819" s="16"/>
      <c r="G819" s="156" t="str">
        <f>HYPERLINK("https://ledvance.com/pt/product-datasheet/226667/273113","Ficha Técnica")</f>
        <v>Ficha Técnica</v>
      </c>
      <c r="H819" s="15">
        <v>4</v>
      </c>
      <c r="I819" s="163">
        <v>6000</v>
      </c>
      <c r="J819" s="15">
        <v>35</v>
      </c>
      <c r="K819" s="163" t="s">
        <v>153</v>
      </c>
      <c r="L819" s="15">
        <v>3</v>
      </c>
      <c r="M819" s="188">
        <v>305.10000000000002</v>
      </c>
      <c r="N819" s="169" t="s">
        <v>11</v>
      </c>
    </row>
    <row r="820" spans="1:14" x14ac:dyDescent="0.25">
      <c r="A820" s="63" t="s">
        <v>8</v>
      </c>
      <c r="B820" s="71" t="s">
        <v>2749</v>
      </c>
      <c r="C820" s="59">
        <v>4058075772892</v>
      </c>
      <c r="D820" s="84"/>
      <c r="E820" s="85"/>
      <c r="F820" s="16"/>
      <c r="G820" s="156" t="str">
        <f>HYPERLINK("https://ledvance.com/pt/product-datasheet/226668/208035","Ficha Técnica")</f>
        <v>Ficha Técnica</v>
      </c>
      <c r="H820" s="15">
        <v>4</v>
      </c>
      <c r="I820" s="163">
        <v>6000</v>
      </c>
      <c r="J820" s="15">
        <v>35</v>
      </c>
      <c r="K820" s="163" t="s">
        <v>153</v>
      </c>
      <c r="L820" s="15">
        <v>3</v>
      </c>
      <c r="M820" s="188">
        <v>305.10000000000002</v>
      </c>
      <c r="N820" s="169" t="s">
        <v>11</v>
      </c>
    </row>
    <row r="821" spans="1:14" x14ac:dyDescent="0.25">
      <c r="A821" s="63" t="s">
        <v>8</v>
      </c>
      <c r="B821" s="77" t="s">
        <v>2750</v>
      </c>
      <c r="C821" s="59">
        <v>4099854191633</v>
      </c>
      <c r="D821" s="103"/>
      <c r="E821" s="104"/>
      <c r="F821" s="16"/>
      <c r="G821" s="156" t="str">
        <f>HYPERLINK("https://ledvance.com/pt/product-datasheet/226668/273116","Ficha Técnica")</f>
        <v>Ficha Técnica</v>
      </c>
      <c r="H821" s="15">
        <v>4</v>
      </c>
      <c r="I821" s="163">
        <v>6000</v>
      </c>
      <c r="J821" s="15">
        <v>35</v>
      </c>
      <c r="K821" s="163" t="s">
        <v>153</v>
      </c>
      <c r="L821" s="15">
        <v>3</v>
      </c>
      <c r="M821" s="188">
        <v>305.10000000000002</v>
      </c>
      <c r="N821" s="169" t="s">
        <v>11</v>
      </c>
    </row>
    <row r="822" spans="1:14" x14ac:dyDescent="0.25">
      <c r="A822" s="63" t="s">
        <v>8</v>
      </c>
      <c r="B822" s="71" t="s">
        <v>2751</v>
      </c>
      <c r="C822" s="59">
        <v>4058075772977</v>
      </c>
      <c r="D822" s="84"/>
      <c r="E822" s="85"/>
      <c r="F822" s="16"/>
      <c r="G822" s="156" t="str">
        <f>HYPERLINK("https://ledvance.com/pt/product-datasheet/226669/208048","Ficha Técnica")</f>
        <v>Ficha Técnica</v>
      </c>
      <c r="H822" s="15">
        <v>4</v>
      </c>
      <c r="I822" s="163">
        <v>5800</v>
      </c>
      <c r="J822" s="15">
        <v>35</v>
      </c>
      <c r="K822" s="163" t="s">
        <v>153</v>
      </c>
      <c r="L822" s="15">
        <v>3</v>
      </c>
      <c r="M822" s="188">
        <v>305.10000000000002</v>
      </c>
      <c r="N822" s="169" t="s">
        <v>11</v>
      </c>
    </row>
    <row r="823" spans="1:14" x14ac:dyDescent="0.25">
      <c r="A823" s="63" t="s">
        <v>8</v>
      </c>
      <c r="B823" s="77" t="s">
        <v>2752</v>
      </c>
      <c r="C823" s="59">
        <v>4099854191718</v>
      </c>
      <c r="D823" s="103"/>
      <c r="E823" s="104"/>
      <c r="F823" s="16"/>
      <c r="G823" s="156" t="str">
        <f>HYPERLINK("https://ledvance.com/pt/product-datasheet/226669/273128","Ficha Técnica")</f>
        <v>Ficha Técnica</v>
      </c>
      <c r="H823" s="15">
        <v>4</v>
      </c>
      <c r="I823" s="163">
        <v>5800</v>
      </c>
      <c r="J823" s="15">
        <v>35</v>
      </c>
      <c r="K823" s="163" t="s">
        <v>153</v>
      </c>
      <c r="L823" s="15">
        <v>3</v>
      </c>
      <c r="M823" s="188">
        <v>305.10000000000002</v>
      </c>
      <c r="N823" s="169" t="s">
        <v>11</v>
      </c>
    </row>
    <row r="824" spans="1:14" x14ac:dyDescent="0.25">
      <c r="A824" s="63" t="s">
        <v>8</v>
      </c>
      <c r="B824" s="77" t="s">
        <v>2753</v>
      </c>
      <c r="C824" s="59">
        <v>4099854191756</v>
      </c>
      <c r="D824" s="103"/>
      <c r="E824" s="104"/>
      <c r="F824" s="16"/>
      <c r="G824" s="156" t="str">
        <f>HYPERLINK("https://ledvance.com/pt/product-datasheet/280276/273134","Ficha Técnica")</f>
        <v>Ficha Técnica</v>
      </c>
      <c r="H824" s="15">
        <v>4</v>
      </c>
      <c r="I824" s="163">
        <v>6000</v>
      </c>
      <c r="J824" s="15">
        <v>35</v>
      </c>
      <c r="K824" s="163" t="s">
        <v>153</v>
      </c>
      <c r="L824" s="15">
        <v>3</v>
      </c>
      <c r="M824" s="188">
        <v>305.10000000000002</v>
      </c>
      <c r="N824" s="169" t="s">
        <v>11</v>
      </c>
    </row>
    <row r="825" spans="1:14" x14ac:dyDescent="0.25">
      <c r="A825" s="63" t="s">
        <v>8</v>
      </c>
      <c r="B825" s="77" t="s">
        <v>2754</v>
      </c>
      <c r="C825" s="59">
        <v>4099854191732</v>
      </c>
      <c r="D825" s="103"/>
      <c r="E825" s="104"/>
      <c r="F825" s="16"/>
      <c r="G825" s="156" t="str">
        <f>HYPERLINK("https://ledvance.com/pt/product-datasheet/280276/273131","Ficha Técnica")</f>
        <v>Ficha Técnica</v>
      </c>
      <c r="H825" s="15">
        <v>4</v>
      </c>
      <c r="I825" s="163">
        <v>6000</v>
      </c>
      <c r="J825" s="15">
        <v>35</v>
      </c>
      <c r="K825" s="163" t="s">
        <v>153</v>
      </c>
      <c r="L825" s="15">
        <v>3</v>
      </c>
      <c r="M825" s="188">
        <v>305.10000000000002</v>
      </c>
      <c r="N825" s="169" t="s">
        <v>11</v>
      </c>
    </row>
    <row r="826" spans="1:14" x14ac:dyDescent="0.25">
      <c r="A826" s="63" t="s">
        <v>8</v>
      </c>
      <c r="B826" s="71" t="s">
        <v>2755</v>
      </c>
      <c r="C826" s="59">
        <v>4058075772915</v>
      </c>
      <c r="D826" s="84"/>
      <c r="E826" s="85"/>
      <c r="F826" s="16"/>
      <c r="G826" s="156" t="str">
        <f>HYPERLINK("https://ledvance.com/pt/product-datasheet/226671/208038","Ficha Técnica")</f>
        <v>Ficha Técnica</v>
      </c>
      <c r="H826" s="15">
        <v>4</v>
      </c>
      <c r="I826" s="163">
        <v>6000</v>
      </c>
      <c r="J826" s="15">
        <v>35</v>
      </c>
      <c r="K826" s="163" t="s">
        <v>153</v>
      </c>
      <c r="L826" s="15">
        <v>3</v>
      </c>
      <c r="M826" s="188">
        <v>305.10000000000002</v>
      </c>
      <c r="N826" s="169" t="s">
        <v>11</v>
      </c>
    </row>
    <row r="827" spans="1:14" x14ac:dyDescent="0.25">
      <c r="A827" s="63" t="s">
        <v>8</v>
      </c>
      <c r="B827" s="77" t="s">
        <v>2756</v>
      </c>
      <c r="C827" s="59">
        <v>4099854191657</v>
      </c>
      <c r="D827" s="103"/>
      <c r="E827" s="104"/>
      <c r="F827" s="16"/>
      <c r="G827" s="156" t="str">
        <f>HYPERLINK("https://ledvance.com/pt/product-datasheet/226671/273119","Ficha Técnica")</f>
        <v>Ficha Técnica</v>
      </c>
      <c r="H827" s="15">
        <v>4</v>
      </c>
      <c r="I827" s="163">
        <v>6000</v>
      </c>
      <c r="J827" s="15">
        <v>35</v>
      </c>
      <c r="K827" s="163" t="s">
        <v>153</v>
      </c>
      <c r="L827" s="15">
        <v>3</v>
      </c>
      <c r="M827" s="188">
        <v>305.10000000000002</v>
      </c>
      <c r="N827" s="169" t="s">
        <v>11</v>
      </c>
    </row>
    <row r="828" spans="1:14" x14ac:dyDescent="0.25">
      <c r="A828" s="63" t="s">
        <v>8</v>
      </c>
      <c r="B828" s="71" t="s">
        <v>2757</v>
      </c>
      <c r="C828" s="59">
        <v>4058075772939</v>
      </c>
      <c r="D828" s="84"/>
      <c r="E828" s="85"/>
      <c r="F828" s="16"/>
      <c r="G828" s="156" t="str">
        <f>HYPERLINK("https://ledvance.com/pt/product-datasheet/226672/208041","Ficha Técnica")</f>
        <v>Ficha Técnica</v>
      </c>
      <c r="H828" s="15">
        <v>4</v>
      </c>
      <c r="I828" s="163">
        <v>6000</v>
      </c>
      <c r="J828" s="15">
        <v>35</v>
      </c>
      <c r="K828" s="163" t="s">
        <v>153</v>
      </c>
      <c r="L828" s="15">
        <v>3</v>
      </c>
      <c r="M828" s="188">
        <v>305.10000000000002</v>
      </c>
      <c r="N828" s="169" t="s">
        <v>11</v>
      </c>
    </row>
    <row r="829" spans="1:14" x14ac:dyDescent="0.25">
      <c r="A829" s="63" t="s">
        <v>8</v>
      </c>
      <c r="B829" s="77" t="s">
        <v>2758</v>
      </c>
      <c r="C829" s="59">
        <v>4099854191671</v>
      </c>
      <c r="D829" s="103"/>
      <c r="E829" s="104"/>
      <c r="F829" s="16"/>
      <c r="G829" s="156" t="str">
        <f>HYPERLINK("https://ledvance.com/pt/product-datasheet/226672/273122","Ficha Técnica")</f>
        <v>Ficha Técnica</v>
      </c>
      <c r="H829" s="15">
        <v>4</v>
      </c>
      <c r="I829" s="163">
        <v>6000</v>
      </c>
      <c r="J829" s="15">
        <v>35</v>
      </c>
      <c r="K829" s="163" t="s">
        <v>153</v>
      </c>
      <c r="L829" s="15">
        <v>3</v>
      </c>
      <c r="M829" s="188">
        <v>305.10000000000002</v>
      </c>
      <c r="N829" s="169" t="s">
        <v>11</v>
      </c>
    </row>
    <row r="830" spans="1:14" x14ac:dyDescent="0.25">
      <c r="A830" s="63" t="s">
        <v>8</v>
      </c>
      <c r="B830" s="71" t="s">
        <v>2759</v>
      </c>
      <c r="C830" s="59">
        <v>4058075772953</v>
      </c>
      <c r="D830" s="84"/>
      <c r="E830" s="85"/>
      <c r="F830" s="16"/>
      <c r="G830" s="156" t="str">
        <f>HYPERLINK("https://ledvance.com/pt/product-datasheet/226673/208045","Ficha Técnica")</f>
        <v>Ficha Técnica</v>
      </c>
      <c r="H830" s="15">
        <v>4</v>
      </c>
      <c r="I830" s="163">
        <v>6000</v>
      </c>
      <c r="J830" s="15">
        <v>35</v>
      </c>
      <c r="K830" s="163" t="s">
        <v>153</v>
      </c>
      <c r="L830" s="15">
        <v>3</v>
      </c>
      <c r="M830" s="188">
        <v>305.10000000000002</v>
      </c>
      <c r="N830" s="169" t="s">
        <v>11</v>
      </c>
    </row>
    <row r="831" spans="1:14" x14ac:dyDescent="0.25">
      <c r="A831" s="63" t="s">
        <v>8</v>
      </c>
      <c r="B831" s="77" t="s">
        <v>2760</v>
      </c>
      <c r="C831" s="59">
        <v>4099854191695</v>
      </c>
      <c r="D831" s="103"/>
      <c r="E831" s="104"/>
      <c r="F831" s="16"/>
      <c r="G831" s="156" t="str">
        <f>HYPERLINK("https://ledvance.com/pt/product-datasheet/226673/273125","Ficha Técnica")</f>
        <v>Ficha Técnica</v>
      </c>
      <c r="H831" s="15">
        <v>4</v>
      </c>
      <c r="I831" s="163">
        <v>6000</v>
      </c>
      <c r="J831" s="15">
        <v>35</v>
      </c>
      <c r="K831" s="163" t="s">
        <v>153</v>
      </c>
      <c r="L831" s="15">
        <v>3</v>
      </c>
      <c r="M831" s="188">
        <v>305.10000000000002</v>
      </c>
      <c r="N831" s="169" t="s">
        <v>11</v>
      </c>
    </row>
    <row r="832" spans="1:14" x14ac:dyDescent="0.25">
      <c r="A832" s="63" t="s">
        <v>8</v>
      </c>
      <c r="B832" s="71" t="s">
        <v>2761</v>
      </c>
      <c r="C832" s="59">
        <v>4058075773004</v>
      </c>
      <c r="D832" s="84"/>
      <c r="E832" s="85"/>
      <c r="F832" s="16"/>
      <c r="G832" s="156" t="str">
        <f>HYPERLINK("https://ledvance.com/pt/product-datasheet/226667/208052","Ficha Técnica")</f>
        <v>Ficha Técnica</v>
      </c>
      <c r="H832" s="15">
        <v>4</v>
      </c>
      <c r="I832" s="163">
        <v>8600</v>
      </c>
      <c r="J832" s="15">
        <v>50</v>
      </c>
      <c r="K832" s="163" t="s">
        <v>153</v>
      </c>
      <c r="L832" s="15">
        <v>3</v>
      </c>
      <c r="M832" s="188">
        <v>324.89999999999998</v>
      </c>
      <c r="N832" s="169" t="s">
        <v>11</v>
      </c>
    </row>
    <row r="833" spans="1:14" x14ac:dyDescent="0.25">
      <c r="A833" s="63" t="s">
        <v>8</v>
      </c>
      <c r="B833" s="77" t="s">
        <v>2762</v>
      </c>
      <c r="C833" s="59">
        <v>4099854191770</v>
      </c>
      <c r="D833" s="103"/>
      <c r="E833" s="104"/>
      <c r="F833" s="16"/>
      <c r="G833" s="156" t="str">
        <f>HYPERLINK("https://ledvance.com/pt/product-datasheet/226667/273137","Ficha Técnica")</f>
        <v>Ficha Técnica</v>
      </c>
      <c r="H833" s="15">
        <v>4</v>
      </c>
      <c r="I833" s="163">
        <v>8600</v>
      </c>
      <c r="J833" s="15">
        <v>50</v>
      </c>
      <c r="K833" s="163" t="s">
        <v>153</v>
      </c>
      <c r="L833" s="15">
        <v>3</v>
      </c>
      <c r="M833" s="188">
        <v>324.89999999999998</v>
      </c>
      <c r="N833" s="169" t="s">
        <v>11</v>
      </c>
    </row>
    <row r="834" spans="1:14" x14ac:dyDescent="0.25">
      <c r="A834" s="63" t="s">
        <v>8</v>
      </c>
      <c r="B834" s="71" t="s">
        <v>2763</v>
      </c>
      <c r="C834" s="59">
        <v>4058075773103</v>
      </c>
      <c r="D834" s="84"/>
      <c r="E834" s="85"/>
      <c r="F834" s="16"/>
      <c r="G834" s="156" t="str">
        <f>HYPERLINK("https://ledvance.com/pt/product-datasheet/226668/208055","Ficha Técnica")</f>
        <v>Ficha Técnica</v>
      </c>
      <c r="H834" s="15">
        <v>4</v>
      </c>
      <c r="I834" s="163">
        <v>8600</v>
      </c>
      <c r="J834" s="15">
        <v>50</v>
      </c>
      <c r="K834" s="163" t="s">
        <v>153</v>
      </c>
      <c r="L834" s="15">
        <v>3</v>
      </c>
      <c r="M834" s="188">
        <v>324.89999999999998</v>
      </c>
      <c r="N834" s="169" t="s">
        <v>11</v>
      </c>
    </row>
    <row r="835" spans="1:14" x14ac:dyDescent="0.25">
      <c r="A835" s="63" t="s">
        <v>8</v>
      </c>
      <c r="B835" s="77" t="s">
        <v>2764</v>
      </c>
      <c r="C835" s="59">
        <v>4099854191794</v>
      </c>
      <c r="D835" s="103"/>
      <c r="E835" s="104"/>
      <c r="F835" s="16"/>
      <c r="G835" s="156" t="str">
        <f>HYPERLINK("https://ledvance.com/pt/product-datasheet/226668/273140","Ficha Técnica")</f>
        <v>Ficha Técnica</v>
      </c>
      <c r="H835" s="15">
        <v>4</v>
      </c>
      <c r="I835" s="163">
        <v>8600</v>
      </c>
      <c r="J835" s="15">
        <v>50</v>
      </c>
      <c r="K835" s="163" t="s">
        <v>153</v>
      </c>
      <c r="L835" s="15">
        <v>3</v>
      </c>
      <c r="M835" s="188">
        <v>324.89999999999998</v>
      </c>
      <c r="N835" s="169" t="s">
        <v>11</v>
      </c>
    </row>
    <row r="836" spans="1:14" x14ac:dyDescent="0.25">
      <c r="A836" s="63" t="s">
        <v>8</v>
      </c>
      <c r="B836" s="71" t="s">
        <v>2765</v>
      </c>
      <c r="C836" s="59">
        <v>4058075773189</v>
      </c>
      <c r="D836" s="84"/>
      <c r="E836" s="85"/>
      <c r="F836" s="16"/>
      <c r="G836" s="156" t="str">
        <f>HYPERLINK("https://ledvance.com/pt/product-datasheet/226669/207852","Ficha Técnica")</f>
        <v>Ficha Técnica</v>
      </c>
      <c r="H836" s="15">
        <v>4</v>
      </c>
      <c r="I836" s="163">
        <v>8300</v>
      </c>
      <c r="J836" s="15">
        <v>50</v>
      </c>
      <c r="K836" s="163" t="s">
        <v>153</v>
      </c>
      <c r="L836" s="15">
        <v>3</v>
      </c>
      <c r="M836" s="188">
        <v>334</v>
      </c>
      <c r="N836" s="169" t="s">
        <v>11</v>
      </c>
    </row>
    <row r="837" spans="1:14" x14ac:dyDescent="0.25">
      <c r="A837" s="63" t="s">
        <v>8</v>
      </c>
      <c r="B837" s="77" t="s">
        <v>2766</v>
      </c>
      <c r="C837" s="59">
        <v>4099854191879</v>
      </c>
      <c r="D837" s="103"/>
      <c r="E837" s="104"/>
      <c r="F837" s="16"/>
      <c r="G837" s="156" t="str">
        <f>HYPERLINK("https://ledvance.com/pt/product-datasheet/226669/273152","Ficha Técnica")</f>
        <v>Ficha Técnica</v>
      </c>
      <c r="H837" s="15">
        <v>4</v>
      </c>
      <c r="I837" s="163">
        <v>8300</v>
      </c>
      <c r="J837" s="15">
        <v>50</v>
      </c>
      <c r="K837" s="163" t="s">
        <v>153</v>
      </c>
      <c r="L837" s="15">
        <v>3</v>
      </c>
      <c r="M837" s="188">
        <v>334</v>
      </c>
      <c r="N837" s="169" t="s">
        <v>11</v>
      </c>
    </row>
    <row r="838" spans="1:14" x14ac:dyDescent="0.25">
      <c r="A838" s="63" t="s">
        <v>8</v>
      </c>
      <c r="B838" s="77" t="s">
        <v>2767</v>
      </c>
      <c r="C838" s="59">
        <v>4099854191916</v>
      </c>
      <c r="D838" s="103"/>
      <c r="E838" s="104"/>
      <c r="F838" s="16"/>
      <c r="G838" s="156" t="str">
        <f>HYPERLINK("https://ledvance.com/pt/product-datasheet/280276/273158","Ficha Técnica")</f>
        <v>Ficha Técnica</v>
      </c>
      <c r="H838" s="15">
        <v>4</v>
      </c>
      <c r="I838" s="163">
        <v>8600</v>
      </c>
      <c r="J838" s="15">
        <v>50</v>
      </c>
      <c r="K838" s="163" t="s">
        <v>153</v>
      </c>
      <c r="L838" s="15">
        <v>3</v>
      </c>
      <c r="M838" s="188">
        <v>324.89999999999998</v>
      </c>
      <c r="N838" s="169" t="s">
        <v>11</v>
      </c>
    </row>
    <row r="839" spans="1:14" x14ac:dyDescent="0.25">
      <c r="A839" s="63" t="s">
        <v>8</v>
      </c>
      <c r="B839" s="77" t="s">
        <v>2768</v>
      </c>
      <c r="C839" s="59">
        <v>4099854191893</v>
      </c>
      <c r="D839" s="103"/>
      <c r="E839" s="104"/>
      <c r="F839" s="16"/>
      <c r="G839" s="156" t="str">
        <f>HYPERLINK("https://ledvance.com/pt/product-datasheet/280276/273155","Ficha Técnica")</f>
        <v>Ficha Técnica</v>
      </c>
      <c r="H839" s="15">
        <v>4</v>
      </c>
      <c r="I839" s="163">
        <v>8600</v>
      </c>
      <c r="J839" s="15">
        <v>50</v>
      </c>
      <c r="K839" s="163" t="s">
        <v>153</v>
      </c>
      <c r="L839" s="15">
        <v>3</v>
      </c>
      <c r="M839" s="188">
        <v>324.89999999999998</v>
      </c>
      <c r="N839" s="169" t="s">
        <v>11</v>
      </c>
    </row>
    <row r="840" spans="1:14" x14ac:dyDescent="0.25">
      <c r="A840" s="63" t="s">
        <v>8</v>
      </c>
      <c r="B840" s="71" t="s">
        <v>2769</v>
      </c>
      <c r="C840" s="59">
        <v>4058075773127</v>
      </c>
      <c r="D840" s="84"/>
      <c r="E840" s="85"/>
      <c r="F840" s="16"/>
      <c r="G840" s="156" t="str">
        <f>HYPERLINK("https://ledvance.com/pt/product-datasheet/226671/208058","Ficha Técnica")</f>
        <v>Ficha Técnica</v>
      </c>
      <c r="H840" s="15">
        <v>4</v>
      </c>
      <c r="I840" s="163">
        <v>8600</v>
      </c>
      <c r="J840" s="15">
        <v>50</v>
      </c>
      <c r="K840" s="163" t="s">
        <v>153</v>
      </c>
      <c r="L840" s="15">
        <v>3</v>
      </c>
      <c r="M840" s="188">
        <v>324.89999999999998</v>
      </c>
      <c r="N840" s="169" t="s">
        <v>11</v>
      </c>
    </row>
    <row r="841" spans="1:14" x14ac:dyDescent="0.25">
      <c r="A841" s="63" t="s">
        <v>8</v>
      </c>
      <c r="B841" s="77" t="s">
        <v>2770</v>
      </c>
      <c r="C841" s="59">
        <v>4099854191817</v>
      </c>
      <c r="D841" s="103"/>
      <c r="E841" s="104"/>
      <c r="F841" s="16"/>
      <c r="G841" s="156" t="str">
        <f>HYPERLINK("https://ledvance.com/pt/product-datasheet/226671/273143","Ficha Técnica")</f>
        <v>Ficha Técnica</v>
      </c>
      <c r="H841" s="15">
        <v>4</v>
      </c>
      <c r="I841" s="163">
        <v>8600</v>
      </c>
      <c r="J841" s="15">
        <v>50</v>
      </c>
      <c r="K841" s="163" t="s">
        <v>153</v>
      </c>
      <c r="L841" s="15">
        <v>3</v>
      </c>
      <c r="M841" s="188">
        <v>324.89999999999998</v>
      </c>
      <c r="N841" s="169" t="s">
        <v>11</v>
      </c>
    </row>
    <row r="842" spans="1:14" x14ac:dyDescent="0.25">
      <c r="A842" s="63" t="s">
        <v>8</v>
      </c>
      <c r="B842" s="71" t="s">
        <v>2771</v>
      </c>
      <c r="C842" s="59">
        <v>4058075773141</v>
      </c>
      <c r="D842" s="84"/>
      <c r="E842" s="85"/>
      <c r="F842" s="16"/>
      <c r="G842" s="156" t="str">
        <f>HYPERLINK("https://ledvance.com/pt/product-datasheet/226672/207846","Ficha Técnica")</f>
        <v>Ficha Técnica</v>
      </c>
      <c r="H842" s="15">
        <v>4</v>
      </c>
      <c r="I842" s="163">
        <v>8600</v>
      </c>
      <c r="J842" s="15">
        <v>50</v>
      </c>
      <c r="K842" s="163" t="s">
        <v>153</v>
      </c>
      <c r="L842" s="15">
        <v>3</v>
      </c>
      <c r="M842" s="188">
        <v>324.89999999999998</v>
      </c>
      <c r="N842" s="169" t="s">
        <v>11</v>
      </c>
    </row>
    <row r="843" spans="1:14" x14ac:dyDescent="0.25">
      <c r="A843" s="63" t="s">
        <v>8</v>
      </c>
      <c r="B843" s="77" t="s">
        <v>2772</v>
      </c>
      <c r="C843" s="59">
        <v>4099854191831</v>
      </c>
      <c r="D843" s="103"/>
      <c r="E843" s="104"/>
      <c r="F843" s="16"/>
      <c r="G843" s="156" t="str">
        <f>HYPERLINK("https://ledvance.com/pt/product-datasheet/226672/273146","Ficha Técnica")</f>
        <v>Ficha Técnica</v>
      </c>
      <c r="H843" s="15">
        <v>4</v>
      </c>
      <c r="I843" s="163">
        <v>8600</v>
      </c>
      <c r="J843" s="15">
        <v>50</v>
      </c>
      <c r="K843" s="163" t="s">
        <v>153</v>
      </c>
      <c r="L843" s="15">
        <v>3</v>
      </c>
      <c r="M843" s="188">
        <v>324.89999999999998</v>
      </c>
      <c r="N843" s="169" t="s">
        <v>11</v>
      </c>
    </row>
    <row r="844" spans="1:14" x14ac:dyDescent="0.25">
      <c r="A844" s="63" t="s">
        <v>8</v>
      </c>
      <c r="B844" s="71" t="s">
        <v>2773</v>
      </c>
      <c r="C844" s="59">
        <v>4058075773165</v>
      </c>
      <c r="D844" s="84"/>
      <c r="E844" s="85"/>
      <c r="F844" s="16"/>
      <c r="G844" s="156" t="str">
        <f>HYPERLINK("https://ledvance.com/pt/product-datasheet/226673/207849","Ficha Técnica")</f>
        <v>Ficha Técnica</v>
      </c>
      <c r="H844" s="15">
        <v>4</v>
      </c>
      <c r="I844" s="163">
        <v>8600</v>
      </c>
      <c r="J844" s="15">
        <v>50</v>
      </c>
      <c r="K844" s="163" t="s">
        <v>153</v>
      </c>
      <c r="L844" s="15">
        <v>3</v>
      </c>
      <c r="M844" s="188">
        <v>324.89999999999998</v>
      </c>
      <c r="N844" s="169" t="s">
        <v>11</v>
      </c>
    </row>
    <row r="845" spans="1:14" x14ac:dyDescent="0.25">
      <c r="A845" s="63" t="s">
        <v>8</v>
      </c>
      <c r="B845" s="77" t="s">
        <v>2774</v>
      </c>
      <c r="C845" s="59">
        <v>4099854191855</v>
      </c>
      <c r="D845" s="103"/>
      <c r="E845" s="104"/>
      <c r="F845" s="16"/>
      <c r="G845" s="156" t="str">
        <f>HYPERLINK("https://ledvance.com/pt/product-datasheet/226673/273149","Ficha Técnica")</f>
        <v>Ficha Técnica</v>
      </c>
      <c r="H845" s="15">
        <v>4</v>
      </c>
      <c r="I845" s="163">
        <v>8600</v>
      </c>
      <c r="J845" s="15">
        <v>50</v>
      </c>
      <c r="K845" s="163" t="s">
        <v>153</v>
      </c>
      <c r="L845" s="15">
        <v>3</v>
      </c>
      <c r="M845" s="188">
        <v>324.89999999999998</v>
      </c>
      <c r="N845" s="169" t="s">
        <v>11</v>
      </c>
    </row>
    <row r="846" spans="1:14" x14ac:dyDescent="0.25">
      <c r="A846" s="63" t="s">
        <v>8</v>
      </c>
      <c r="B846" s="71" t="s">
        <v>2775</v>
      </c>
      <c r="C846" s="59">
        <v>4058075773219</v>
      </c>
      <c r="D846" s="84"/>
      <c r="E846" s="85"/>
      <c r="F846" s="16"/>
      <c r="G846" s="156" t="str">
        <f>HYPERLINK("https://ledvance.com/pt/product-datasheet/226667/207855","Ficha Técnica")</f>
        <v>Ficha Técnica</v>
      </c>
      <c r="H846" s="15">
        <v>4</v>
      </c>
      <c r="I846" s="163">
        <v>12100</v>
      </c>
      <c r="J846" s="15">
        <v>70</v>
      </c>
      <c r="K846" s="163" t="s">
        <v>153</v>
      </c>
      <c r="L846" s="15">
        <v>3</v>
      </c>
      <c r="M846" s="188">
        <v>339</v>
      </c>
      <c r="N846" s="169" t="s">
        <v>11</v>
      </c>
    </row>
    <row r="847" spans="1:14" x14ac:dyDescent="0.25">
      <c r="A847" s="63" t="s">
        <v>8</v>
      </c>
      <c r="B847" s="77" t="s">
        <v>2776</v>
      </c>
      <c r="C847" s="59">
        <v>4099854190414</v>
      </c>
      <c r="D847" s="103"/>
      <c r="E847" s="104"/>
      <c r="F847" s="16"/>
      <c r="G847" s="156" t="str">
        <f>HYPERLINK("https://ledvance.com/pt/product-datasheet/226667/273161","Ficha Técnica")</f>
        <v>Ficha Técnica</v>
      </c>
      <c r="H847" s="15">
        <v>4</v>
      </c>
      <c r="I847" s="163">
        <v>12100</v>
      </c>
      <c r="J847" s="15">
        <v>70</v>
      </c>
      <c r="K847" s="163" t="s">
        <v>153</v>
      </c>
      <c r="L847" s="15">
        <v>3</v>
      </c>
      <c r="M847" s="188">
        <v>339</v>
      </c>
      <c r="N847" s="169" t="s">
        <v>11</v>
      </c>
    </row>
    <row r="848" spans="1:14" x14ac:dyDescent="0.25">
      <c r="A848" s="63" t="s">
        <v>8</v>
      </c>
      <c r="B848" s="71" t="s">
        <v>2777</v>
      </c>
      <c r="C848" s="59">
        <v>4058075773233</v>
      </c>
      <c r="D848" s="84"/>
      <c r="E848" s="85"/>
      <c r="F848" s="16"/>
      <c r="G848" s="156" t="str">
        <f>HYPERLINK("https://ledvance.com/pt/product-datasheet/226668/207858","Ficha Técnica")</f>
        <v>Ficha Técnica</v>
      </c>
      <c r="H848" s="15">
        <v>4</v>
      </c>
      <c r="I848" s="163">
        <v>12100</v>
      </c>
      <c r="J848" s="15">
        <v>70</v>
      </c>
      <c r="K848" s="163" t="s">
        <v>153</v>
      </c>
      <c r="L848" s="15">
        <v>3</v>
      </c>
      <c r="M848" s="188">
        <v>339</v>
      </c>
      <c r="N848" s="169" t="s">
        <v>11</v>
      </c>
    </row>
    <row r="849" spans="1:14" x14ac:dyDescent="0.25">
      <c r="A849" s="63" t="s">
        <v>8</v>
      </c>
      <c r="B849" s="77" t="s">
        <v>2778</v>
      </c>
      <c r="C849" s="59">
        <v>4099854191930</v>
      </c>
      <c r="D849" s="103"/>
      <c r="E849" s="104"/>
      <c r="F849" s="16"/>
      <c r="G849" s="156" t="str">
        <f>HYPERLINK("https://ledvance.com/pt/product-datasheet/226668/273164","Ficha Técnica")</f>
        <v>Ficha Técnica</v>
      </c>
      <c r="H849" s="15">
        <v>4</v>
      </c>
      <c r="I849" s="163">
        <v>12100</v>
      </c>
      <c r="J849" s="15">
        <v>70</v>
      </c>
      <c r="K849" s="163" t="s">
        <v>153</v>
      </c>
      <c r="L849" s="15">
        <v>3</v>
      </c>
      <c r="M849" s="188">
        <v>339</v>
      </c>
      <c r="N849" s="169" t="s">
        <v>11</v>
      </c>
    </row>
    <row r="850" spans="1:14" x14ac:dyDescent="0.25">
      <c r="A850" s="63" t="s">
        <v>8</v>
      </c>
      <c r="B850" s="71" t="s">
        <v>2779</v>
      </c>
      <c r="C850" s="59">
        <v>4058075773318</v>
      </c>
      <c r="D850" s="84"/>
      <c r="E850" s="85"/>
      <c r="F850" s="16"/>
      <c r="G850" s="156" t="str">
        <f>HYPERLINK("https://ledvance.com/pt/product-datasheet/226669/207870","Ficha Técnica")</f>
        <v>Ficha Técnica</v>
      </c>
      <c r="H850" s="15">
        <v>4</v>
      </c>
      <c r="I850" s="163">
        <v>11700</v>
      </c>
      <c r="J850" s="15">
        <v>70</v>
      </c>
      <c r="K850" s="163" t="s">
        <v>153</v>
      </c>
      <c r="L850" s="15">
        <v>3</v>
      </c>
      <c r="M850" s="188">
        <v>348.1</v>
      </c>
      <c r="N850" s="169" t="s">
        <v>11</v>
      </c>
    </row>
    <row r="851" spans="1:14" x14ac:dyDescent="0.25">
      <c r="A851" s="63" t="s">
        <v>8</v>
      </c>
      <c r="B851" s="77" t="s">
        <v>2780</v>
      </c>
      <c r="C851" s="59">
        <v>4099854192012</v>
      </c>
      <c r="D851" s="103"/>
      <c r="E851" s="104"/>
      <c r="F851" s="16"/>
      <c r="G851" s="156" t="str">
        <f>HYPERLINK("https://ledvance.com/pt/product-datasheet/226669/273176","Ficha Técnica")</f>
        <v>Ficha Técnica</v>
      </c>
      <c r="H851" s="15">
        <v>4</v>
      </c>
      <c r="I851" s="163">
        <v>11700</v>
      </c>
      <c r="J851" s="15">
        <v>70</v>
      </c>
      <c r="K851" s="163" t="s">
        <v>153</v>
      </c>
      <c r="L851" s="15">
        <v>3</v>
      </c>
      <c r="M851" s="188">
        <v>348.1</v>
      </c>
      <c r="N851" s="169" t="s">
        <v>11</v>
      </c>
    </row>
    <row r="852" spans="1:14" x14ac:dyDescent="0.25">
      <c r="A852" s="63" t="s">
        <v>8</v>
      </c>
      <c r="B852" s="77" t="s">
        <v>2781</v>
      </c>
      <c r="C852" s="59">
        <v>4099854192050</v>
      </c>
      <c r="D852" s="103"/>
      <c r="E852" s="104"/>
      <c r="F852" s="16"/>
      <c r="G852" s="156" t="str">
        <f>HYPERLINK("https://ledvance.com/pt/product-datasheet/280276/273182","Ficha Técnica")</f>
        <v>Ficha Técnica</v>
      </c>
      <c r="H852" s="15">
        <v>4</v>
      </c>
      <c r="I852" s="163">
        <v>12100</v>
      </c>
      <c r="J852" s="15">
        <v>70</v>
      </c>
      <c r="K852" s="163" t="s">
        <v>153</v>
      </c>
      <c r="L852" s="15">
        <v>3</v>
      </c>
      <c r="M852" s="188">
        <v>339</v>
      </c>
      <c r="N852" s="169" t="s">
        <v>11</v>
      </c>
    </row>
    <row r="853" spans="1:14" x14ac:dyDescent="0.25">
      <c r="A853" s="63" t="s">
        <v>8</v>
      </c>
      <c r="B853" s="77" t="s">
        <v>2782</v>
      </c>
      <c r="C853" s="59">
        <v>4099854192036</v>
      </c>
      <c r="D853" s="103"/>
      <c r="E853" s="104"/>
      <c r="F853" s="16"/>
      <c r="G853" s="156" t="str">
        <f>HYPERLINK("https://ledvance.com/pt/product-datasheet/280276/273179","Ficha Técnica")</f>
        <v>Ficha Técnica</v>
      </c>
      <c r="H853" s="15">
        <v>4</v>
      </c>
      <c r="I853" s="163">
        <v>12100</v>
      </c>
      <c r="J853" s="15">
        <v>70</v>
      </c>
      <c r="K853" s="163" t="s">
        <v>153</v>
      </c>
      <c r="L853" s="15">
        <v>3</v>
      </c>
      <c r="M853" s="188">
        <v>339</v>
      </c>
      <c r="N853" s="169" t="s">
        <v>11</v>
      </c>
    </row>
    <row r="854" spans="1:14" x14ac:dyDescent="0.25">
      <c r="A854" s="63" t="s">
        <v>8</v>
      </c>
      <c r="B854" s="71" t="s">
        <v>2783</v>
      </c>
      <c r="C854" s="59">
        <v>4058075773257</v>
      </c>
      <c r="D854" s="84"/>
      <c r="E854" s="85"/>
      <c r="F854" s="16"/>
      <c r="G854" s="156" t="str">
        <f>HYPERLINK("https://ledvance.com/pt/product-datasheet/226671/207861","Ficha Técnica")</f>
        <v>Ficha Técnica</v>
      </c>
      <c r="H854" s="15">
        <v>4</v>
      </c>
      <c r="I854" s="163">
        <v>12100</v>
      </c>
      <c r="J854" s="15">
        <v>70</v>
      </c>
      <c r="K854" s="163" t="s">
        <v>153</v>
      </c>
      <c r="L854" s="15">
        <v>3</v>
      </c>
      <c r="M854" s="188">
        <v>339</v>
      </c>
      <c r="N854" s="169" t="s">
        <v>11</v>
      </c>
    </row>
    <row r="855" spans="1:14" x14ac:dyDescent="0.25">
      <c r="A855" s="63" t="s">
        <v>8</v>
      </c>
      <c r="B855" s="77" t="s">
        <v>2784</v>
      </c>
      <c r="C855" s="59">
        <v>4099854191954</v>
      </c>
      <c r="D855" s="103"/>
      <c r="E855" s="104"/>
      <c r="F855" s="16"/>
      <c r="G855" s="156" t="str">
        <f>HYPERLINK("https://ledvance.com/pt/product-datasheet/226671/273167","Ficha Técnica")</f>
        <v>Ficha Técnica</v>
      </c>
      <c r="H855" s="15">
        <v>4</v>
      </c>
      <c r="I855" s="163">
        <v>12100</v>
      </c>
      <c r="J855" s="15">
        <v>70</v>
      </c>
      <c r="K855" s="163" t="s">
        <v>153</v>
      </c>
      <c r="L855" s="15">
        <v>3</v>
      </c>
      <c r="M855" s="188">
        <v>339</v>
      </c>
      <c r="N855" s="169" t="s">
        <v>11</v>
      </c>
    </row>
    <row r="856" spans="1:14" x14ac:dyDescent="0.25">
      <c r="A856" s="63" t="s">
        <v>8</v>
      </c>
      <c r="B856" s="71" t="s">
        <v>2785</v>
      </c>
      <c r="C856" s="59">
        <v>4058075773271</v>
      </c>
      <c r="D856" s="84"/>
      <c r="E856" s="85"/>
      <c r="F856" s="16"/>
      <c r="G856" s="156" t="str">
        <f>HYPERLINK("https://ledvance.com/pt/product-datasheet/226672/207864","Ficha Técnica")</f>
        <v>Ficha Técnica</v>
      </c>
      <c r="H856" s="15">
        <v>4</v>
      </c>
      <c r="I856" s="163">
        <v>12100</v>
      </c>
      <c r="J856" s="15">
        <v>70</v>
      </c>
      <c r="K856" s="163" t="s">
        <v>153</v>
      </c>
      <c r="L856" s="15">
        <v>3</v>
      </c>
      <c r="M856" s="188">
        <v>339</v>
      </c>
      <c r="N856" s="169" t="s">
        <v>11</v>
      </c>
    </row>
    <row r="857" spans="1:14" x14ac:dyDescent="0.25">
      <c r="A857" s="63" t="s">
        <v>8</v>
      </c>
      <c r="B857" s="77" t="s">
        <v>2786</v>
      </c>
      <c r="C857" s="59">
        <v>4099854191978</v>
      </c>
      <c r="D857" s="103"/>
      <c r="E857" s="104"/>
      <c r="F857" s="16"/>
      <c r="G857" s="156" t="str">
        <f>HYPERLINK("https://ledvance.com/pt/product-datasheet/226672/273170","Ficha Técnica")</f>
        <v>Ficha Técnica</v>
      </c>
      <c r="H857" s="15">
        <v>4</v>
      </c>
      <c r="I857" s="163">
        <v>12100</v>
      </c>
      <c r="J857" s="15">
        <v>70</v>
      </c>
      <c r="K857" s="163" t="s">
        <v>153</v>
      </c>
      <c r="L857" s="15">
        <v>3</v>
      </c>
      <c r="M857" s="188">
        <v>339</v>
      </c>
      <c r="N857" s="169" t="s">
        <v>11</v>
      </c>
    </row>
    <row r="858" spans="1:14" x14ac:dyDescent="0.25">
      <c r="A858" s="63" t="s">
        <v>8</v>
      </c>
      <c r="B858" s="71" t="s">
        <v>2787</v>
      </c>
      <c r="C858" s="59">
        <v>4058075773295</v>
      </c>
      <c r="D858" s="84"/>
      <c r="E858" s="85"/>
      <c r="F858" s="16"/>
      <c r="G858" s="156" t="str">
        <f>HYPERLINK("https://ledvance.com/pt/product-datasheet/226673/207867","Ficha Técnica")</f>
        <v>Ficha Técnica</v>
      </c>
      <c r="H858" s="15">
        <v>4</v>
      </c>
      <c r="I858" s="163">
        <v>12100</v>
      </c>
      <c r="J858" s="15">
        <v>70</v>
      </c>
      <c r="K858" s="163" t="s">
        <v>153</v>
      </c>
      <c r="L858" s="15">
        <v>3</v>
      </c>
      <c r="M858" s="188">
        <v>339</v>
      </c>
      <c r="N858" s="169" t="s">
        <v>11</v>
      </c>
    </row>
    <row r="859" spans="1:14" x14ac:dyDescent="0.25">
      <c r="A859" s="63" t="s">
        <v>8</v>
      </c>
      <c r="B859" s="77" t="s">
        <v>2788</v>
      </c>
      <c r="C859" s="59">
        <v>4099854191992</v>
      </c>
      <c r="D859" s="103"/>
      <c r="E859" s="104"/>
      <c r="F859" s="16"/>
      <c r="G859" s="156" t="str">
        <f>HYPERLINK("https://ledvance.com/pt/product-datasheet/226673/273173","Ficha Técnica")</f>
        <v>Ficha Técnica</v>
      </c>
      <c r="H859" s="15">
        <v>4</v>
      </c>
      <c r="I859" s="163">
        <v>12100</v>
      </c>
      <c r="J859" s="15">
        <v>70</v>
      </c>
      <c r="K859" s="163" t="s">
        <v>153</v>
      </c>
      <c r="L859" s="15">
        <v>3</v>
      </c>
      <c r="M859" s="188">
        <v>339</v>
      </c>
      <c r="N859" s="169" t="s">
        <v>11</v>
      </c>
    </row>
    <row r="860" spans="1:14" x14ac:dyDescent="0.25">
      <c r="A860" s="66" t="s">
        <v>40</v>
      </c>
      <c r="B860" s="69" t="s">
        <v>221</v>
      </c>
      <c r="C860" s="19"/>
      <c r="D860" s="65"/>
      <c r="E860" s="86"/>
      <c r="F860" s="12"/>
      <c r="G860" s="157"/>
      <c r="H860" s="12"/>
      <c r="I860" s="62"/>
      <c r="J860" s="27"/>
      <c r="K860" s="62"/>
      <c r="L860" s="12"/>
      <c r="M860" s="191"/>
      <c r="N860" s="65"/>
    </row>
    <row r="861" spans="1:14" x14ac:dyDescent="0.25">
      <c r="A861" s="63" t="s">
        <v>40</v>
      </c>
      <c r="B861" s="71" t="s">
        <v>222</v>
      </c>
      <c r="C861" s="59">
        <v>4058075781672</v>
      </c>
      <c r="D861" s="84"/>
      <c r="E861" s="85"/>
      <c r="F861" s="16"/>
      <c r="G861" s="156" t="str">
        <f>HYPERLINK("https://ledvance.com/pt/product-datasheet/226690/210202","Ficha Técnica")</f>
        <v>Ficha Técnica</v>
      </c>
      <c r="H861" s="15">
        <v>4</v>
      </c>
      <c r="I861" s="163"/>
      <c r="J861" s="15"/>
      <c r="K861" s="163"/>
      <c r="L861" s="15">
        <v>5</v>
      </c>
      <c r="M861" s="188">
        <v>35.9</v>
      </c>
      <c r="N861" s="169" t="s">
        <v>11</v>
      </c>
    </row>
    <row r="862" spans="1:14" x14ac:dyDescent="0.25">
      <c r="A862" s="63" t="s">
        <v>40</v>
      </c>
      <c r="B862" s="71" t="s">
        <v>223</v>
      </c>
      <c r="C862" s="59">
        <v>4058075781757</v>
      </c>
      <c r="D862" s="84"/>
      <c r="E862" s="85"/>
      <c r="F862" s="16"/>
      <c r="G862" s="156" t="str">
        <f>HYPERLINK("https://ledvance.com/pt/product-datasheet/226690/210214","Ficha Técnica")</f>
        <v>Ficha Técnica</v>
      </c>
      <c r="H862" s="15">
        <v>4</v>
      </c>
      <c r="I862" s="163"/>
      <c r="J862" s="15"/>
      <c r="K862" s="163"/>
      <c r="L862" s="15">
        <v>5</v>
      </c>
      <c r="M862" s="188">
        <v>71.599999999999994</v>
      </c>
      <c r="N862" s="169" t="s">
        <v>11</v>
      </c>
    </row>
    <row r="863" spans="1:14" x14ac:dyDescent="0.25">
      <c r="A863" s="63" t="s">
        <v>40</v>
      </c>
      <c r="B863" s="71" t="s">
        <v>224</v>
      </c>
      <c r="C863" s="59">
        <v>4099854193521</v>
      </c>
      <c r="D863" s="84"/>
      <c r="E863" s="85"/>
      <c r="F863" s="13"/>
      <c r="G863" s="156" t="str">
        <f>HYPERLINK("https://ledvance.com/pt/product-datasheet/226691/273561","Ficha Técnica")</f>
        <v>Ficha Técnica</v>
      </c>
      <c r="H863" s="15">
        <v>4</v>
      </c>
      <c r="I863" s="163"/>
      <c r="J863" s="15"/>
      <c r="K863" s="163"/>
      <c r="L863" s="15">
        <v>5</v>
      </c>
      <c r="M863" s="188">
        <v>40.299999999999997</v>
      </c>
      <c r="N863" s="169" t="s">
        <v>11</v>
      </c>
    </row>
    <row r="864" spans="1:14" x14ac:dyDescent="0.25">
      <c r="A864" s="63" t="s">
        <v>40</v>
      </c>
      <c r="B864" s="71" t="s">
        <v>225</v>
      </c>
      <c r="C864" s="59">
        <v>4058075781696</v>
      </c>
      <c r="D864" s="84"/>
      <c r="E864" s="85"/>
      <c r="F864" s="16"/>
      <c r="G864" s="156" t="str">
        <f>HYPERLINK("https://ledvance.com/pt/product-datasheet/226691/210205","Ficha Técnica")</f>
        <v>Ficha Técnica</v>
      </c>
      <c r="H864" s="15">
        <v>4</v>
      </c>
      <c r="I864" s="163"/>
      <c r="J864" s="15"/>
      <c r="K864" s="163"/>
      <c r="L864" s="15">
        <v>5</v>
      </c>
      <c r="M864" s="188">
        <v>50.2</v>
      </c>
      <c r="N864" s="169" t="s">
        <v>11</v>
      </c>
    </row>
    <row r="865" spans="1:14" x14ac:dyDescent="0.25">
      <c r="A865" s="63" t="s">
        <v>40</v>
      </c>
      <c r="B865" s="71" t="s">
        <v>226</v>
      </c>
      <c r="C865" s="59">
        <v>4058075781771</v>
      </c>
      <c r="D865" s="84"/>
      <c r="E865" s="85"/>
      <c r="F865" s="16"/>
      <c r="G865" s="156" t="str">
        <f>HYPERLINK("https://ledvance.com/pt/product-datasheet/226691/210217","Ficha Técnica")</f>
        <v>Ficha Técnica</v>
      </c>
      <c r="H865" s="15">
        <v>4</v>
      </c>
      <c r="I865" s="163"/>
      <c r="J865" s="15"/>
      <c r="K865" s="163"/>
      <c r="L865" s="15">
        <v>5</v>
      </c>
      <c r="M865" s="188">
        <v>86.2</v>
      </c>
      <c r="N865" s="169" t="s">
        <v>11</v>
      </c>
    </row>
    <row r="866" spans="1:14" x14ac:dyDescent="0.25">
      <c r="A866" s="63" t="s">
        <v>40</v>
      </c>
      <c r="B866" s="71" t="s">
        <v>227</v>
      </c>
      <c r="C866" s="59">
        <v>4058075781733</v>
      </c>
      <c r="D866" s="84"/>
      <c r="E866" s="85"/>
      <c r="F866" s="16"/>
      <c r="G866" s="156" t="str">
        <f>HYPERLINK("https://ledvance.com/pt/product-datasheet/226690/210211","Ficha Técnica")</f>
        <v>Ficha Técnica</v>
      </c>
      <c r="H866" s="15">
        <v>4</v>
      </c>
      <c r="I866" s="163"/>
      <c r="J866" s="15"/>
      <c r="K866" s="163"/>
      <c r="L866" s="15">
        <v>5</v>
      </c>
      <c r="M866" s="188">
        <v>35.9</v>
      </c>
      <c r="N866" s="169" t="s">
        <v>11</v>
      </c>
    </row>
    <row r="867" spans="1:14" x14ac:dyDescent="0.25">
      <c r="A867" s="63" t="s">
        <v>40</v>
      </c>
      <c r="B867" s="71" t="s">
        <v>228</v>
      </c>
      <c r="C867" s="59">
        <v>4099854193545</v>
      </c>
      <c r="D867" s="84"/>
      <c r="E867" s="85"/>
      <c r="F867" s="13"/>
      <c r="G867" s="156" t="str">
        <f>HYPERLINK("https://ledvance.com/pt/product-datasheet/226691/273564","Ficha Técnica")</f>
        <v>Ficha Técnica</v>
      </c>
      <c r="H867" s="15">
        <v>4</v>
      </c>
      <c r="I867" s="163"/>
      <c r="J867" s="15"/>
      <c r="K867" s="163"/>
      <c r="L867" s="15">
        <v>5</v>
      </c>
      <c r="M867" s="188">
        <v>40.299999999999997</v>
      </c>
      <c r="N867" s="169" t="s">
        <v>11</v>
      </c>
    </row>
    <row r="868" spans="1:14" x14ac:dyDescent="0.25">
      <c r="A868" s="63" t="s">
        <v>40</v>
      </c>
      <c r="B868" s="71" t="s">
        <v>229</v>
      </c>
      <c r="C868" s="59">
        <v>4058075781719</v>
      </c>
      <c r="D868" s="84"/>
      <c r="E868" s="85"/>
      <c r="F868" s="16"/>
      <c r="G868" s="156" t="str">
        <f>HYPERLINK("https://ledvance.com/pt/product-datasheet/226691/210208","Ficha Técnica")</f>
        <v>Ficha Técnica</v>
      </c>
      <c r="H868" s="15">
        <v>4</v>
      </c>
      <c r="I868" s="163"/>
      <c r="J868" s="15"/>
      <c r="K868" s="163"/>
      <c r="L868" s="15">
        <v>5</v>
      </c>
      <c r="M868" s="188">
        <v>50.2</v>
      </c>
      <c r="N868" s="169" t="s">
        <v>11</v>
      </c>
    </row>
    <row r="869" spans="1:14" x14ac:dyDescent="0.25">
      <c r="A869" s="66" t="s">
        <v>40</v>
      </c>
      <c r="B869" s="69" t="s">
        <v>230</v>
      </c>
      <c r="C869" s="51"/>
      <c r="D869" s="65"/>
      <c r="E869" s="86"/>
      <c r="F869" s="12"/>
      <c r="G869" s="157"/>
      <c r="H869" s="12"/>
      <c r="I869" s="62"/>
      <c r="J869" s="27"/>
      <c r="K869" s="62"/>
      <c r="L869" s="12"/>
      <c r="M869" s="191"/>
      <c r="N869" s="65"/>
    </row>
    <row r="870" spans="1:14" x14ac:dyDescent="0.25">
      <c r="A870" s="63" t="s">
        <v>40</v>
      </c>
      <c r="B870" s="71" t="s">
        <v>231</v>
      </c>
      <c r="C870" s="2">
        <v>4058075781795</v>
      </c>
      <c r="D870" s="84"/>
      <c r="E870" s="85"/>
      <c r="F870" s="16"/>
      <c r="G870" s="156" t="str">
        <f>HYPERLINK("https://ledvance.com/pt/product-datasheet/226692/210222","Ficha Técnica")</f>
        <v>Ficha Técnica</v>
      </c>
      <c r="H870" s="15">
        <v>100</v>
      </c>
      <c r="I870" s="163"/>
      <c r="J870" s="15"/>
      <c r="K870" s="163"/>
      <c r="L870" s="15">
        <v>5</v>
      </c>
      <c r="M870" s="188">
        <v>29.1</v>
      </c>
      <c r="N870" s="169" t="s">
        <v>11</v>
      </c>
    </row>
    <row r="871" spans="1:14" x14ac:dyDescent="0.25">
      <c r="A871" s="63" t="s">
        <v>40</v>
      </c>
      <c r="B871" s="71" t="s">
        <v>232</v>
      </c>
      <c r="C871" s="2">
        <v>4058075781818</v>
      </c>
      <c r="D871" s="84"/>
      <c r="E871" s="85"/>
      <c r="F871" s="16"/>
      <c r="G871" s="156" t="str">
        <f>HYPERLINK("https://ledvance.com/pt/product-datasheet/226693/210228","Ficha Técnica")</f>
        <v>Ficha Técnica</v>
      </c>
      <c r="H871" s="15">
        <v>140</v>
      </c>
      <c r="I871" s="163"/>
      <c r="J871" s="15"/>
      <c r="K871" s="163"/>
      <c r="L871" s="15">
        <v>5</v>
      </c>
      <c r="M871" s="188">
        <v>26.1</v>
      </c>
      <c r="N871" s="169" t="s">
        <v>11</v>
      </c>
    </row>
    <row r="872" spans="1:14" x14ac:dyDescent="0.25">
      <c r="A872" s="63" t="s">
        <v>40</v>
      </c>
      <c r="B872" s="71" t="s">
        <v>233</v>
      </c>
      <c r="C872" s="59">
        <v>4099854193606</v>
      </c>
      <c r="D872" s="84"/>
      <c r="E872" s="85"/>
      <c r="F872" s="16"/>
      <c r="G872" s="156" t="str">
        <f>HYPERLINK("https://ledvance.com/pt/product-datasheet/226694/273552","Ficha Técnica")</f>
        <v>Ficha Técnica</v>
      </c>
      <c r="H872" s="15">
        <v>50</v>
      </c>
      <c r="I872" s="163"/>
      <c r="J872" s="15"/>
      <c r="K872" s="163"/>
      <c r="L872" s="15">
        <v>5</v>
      </c>
      <c r="M872" s="188">
        <v>10.9</v>
      </c>
      <c r="N872" s="169" t="s">
        <v>11</v>
      </c>
    </row>
    <row r="873" spans="1:14" x14ac:dyDescent="0.25">
      <c r="A873" s="63" t="s">
        <v>40</v>
      </c>
      <c r="B873" s="71" t="s">
        <v>234</v>
      </c>
      <c r="C873" s="2">
        <v>4058118270828</v>
      </c>
      <c r="D873" s="84"/>
      <c r="E873" s="85"/>
      <c r="F873" s="16"/>
      <c r="G873" s="156" t="str">
        <f>HYPERLINK("","Ficha Técnica")</f>
        <v>Ficha Técnica</v>
      </c>
      <c r="H873" s="15"/>
      <c r="I873" s="163"/>
      <c r="J873" s="15"/>
      <c r="K873" s="163"/>
      <c r="L873" s="15"/>
      <c r="M873" s="188">
        <v>16.899999999999999</v>
      </c>
      <c r="N873" s="169" t="s">
        <v>11</v>
      </c>
    </row>
    <row r="874" spans="1:14" x14ac:dyDescent="0.25">
      <c r="A874" s="63" t="s">
        <v>40</v>
      </c>
      <c r="B874" s="78" t="s">
        <v>235</v>
      </c>
      <c r="C874" s="59">
        <v>4099854193637</v>
      </c>
      <c r="D874" s="110"/>
      <c r="E874" s="111"/>
      <c r="F874" s="16"/>
      <c r="G874" s="156" t="str">
        <f>HYPERLINK("https://ledvance.com/pt/product-datasheet/280339/273567","Ficha Técnica")</f>
        <v>Ficha Técnica</v>
      </c>
      <c r="H874" s="15">
        <v>4</v>
      </c>
      <c r="I874" s="163"/>
      <c r="J874" s="15"/>
      <c r="K874" s="163"/>
      <c r="L874" s="15">
        <v>5</v>
      </c>
      <c r="M874" s="188">
        <v>149.80000000000001</v>
      </c>
      <c r="N874" s="169" t="s">
        <v>11</v>
      </c>
    </row>
    <row r="875" spans="1:14" x14ac:dyDescent="0.25">
      <c r="A875" s="63" t="s">
        <v>40</v>
      </c>
      <c r="B875" s="78" t="s">
        <v>236</v>
      </c>
      <c r="C875" s="59">
        <v>4099854193651</v>
      </c>
      <c r="D875" s="110"/>
      <c r="E875" s="111"/>
      <c r="F875" s="16"/>
      <c r="G875" s="156" t="str">
        <f>HYPERLINK("https://ledvance.com/pt/product-datasheet/280339/273570","Ficha Técnica")</f>
        <v>Ficha Técnica</v>
      </c>
      <c r="H875" s="15">
        <v>4</v>
      </c>
      <c r="I875" s="163"/>
      <c r="J875" s="15"/>
      <c r="K875" s="163"/>
      <c r="L875" s="15">
        <v>5</v>
      </c>
      <c r="M875" s="188">
        <v>164.3</v>
      </c>
      <c r="N875" s="169" t="s">
        <v>11</v>
      </c>
    </row>
    <row r="876" spans="1:14" x14ac:dyDescent="0.25">
      <c r="A876" s="63" t="s">
        <v>40</v>
      </c>
      <c r="B876" s="78" t="s">
        <v>237</v>
      </c>
      <c r="C876" s="59">
        <v>4099854230158</v>
      </c>
      <c r="D876" s="110"/>
      <c r="E876" s="111"/>
      <c r="F876" s="16"/>
      <c r="G876" s="156" t="str">
        <f>HYPERLINK("https://ledvance.com/pt/product-datasheet/297248/283819","Ficha Técnica")</f>
        <v>Ficha Técnica</v>
      </c>
      <c r="H876" s="15">
        <v>6</v>
      </c>
      <c r="I876" s="163"/>
      <c r="J876" s="15"/>
      <c r="K876" s="163" t="s">
        <v>46</v>
      </c>
      <c r="L876" s="15">
        <v>5</v>
      </c>
      <c r="M876" s="188">
        <v>65.2</v>
      </c>
      <c r="N876" s="169" t="s">
        <v>11</v>
      </c>
    </row>
    <row r="877" spans="1:14" x14ac:dyDescent="0.25">
      <c r="A877" s="63" t="s">
        <v>40</v>
      </c>
      <c r="B877" s="78" t="s">
        <v>238</v>
      </c>
      <c r="C877" s="59">
        <v>4099854230172</v>
      </c>
      <c r="D877" s="110"/>
      <c r="E877" s="111"/>
      <c r="F877" s="16"/>
      <c r="G877" s="156" t="str">
        <f>HYPERLINK("https://ledvance.com/pt/product-datasheet/297248/283822","Ficha Técnica")</f>
        <v>Ficha Técnica</v>
      </c>
      <c r="H877" s="15">
        <v>6</v>
      </c>
      <c r="I877" s="163"/>
      <c r="J877" s="15"/>
      <c r="K877" s="163" t="s">
        <v>46</v>
      </c>
      <c r="L877" s="15">
        <v>5</v>
      </c>
      <c r="M877" s="188">
        <v>67.5</v>
      </c>
      <c r="N877" s="169" t="s">
        <v>11</v>
      </c>
    </row>
    <row r="878" spans="1:14" x14ac:dyDescent="0.25">
      <c r="A878" s="63" t="s">
        <v>40</v>
      </c>
      <c r="B878" s="78" t="s">
        <v>2789</v>
      </c>
      <c r="C878" s="59">
        <v>4099854230196</v>
      </c>
      <c r="D878" s="110"/>
      <c r="E878" s="111"/>
      <c r="F878" s="16"/>
      <c r="G878" s="156" t="str">
        <f>HYPERLINK("https://ledvance.com/pt/product-datasheet/297248/283825","Ficha Técnica")</f>
        <v>Ficha Técnica</v>
      </c>
      <c r="H878" s="15">
        <v>6</v>
      </c>
      <c r="I878" s="163"/>
      <c r="J878" s="15"/>
      <c r="K878" s="163" t="s">
        <v>46</v>
      </c>
      <c r="L878" s="15">
        <v>5</v>
      </c>
      <c r="M878" s="188">
        <v>29.7</v>
      </c>
      <c r="N878" s="169" t="s">
        <v>11</v>
      </c>
    </row>
    <row r="879" spans="1:14" x14ac:dyDescent="0.25">
      <c r="A879" s="63" t="s">
        <v>40</v>
      </c>
      <c r="B879" s="71" t="s">
        <v>239</v>
      </c>
      <c r="C879" s="2">
        <v>4058075781856</v>
      </c>
      <c r="D879" s="84"/>
      <c r="E879" s="85"/>
      <c r="F879" s="16"/>
      <c r="G879" s="156" t="str">
        <f>HYPERLINK("https://ledvance.com/pt/product-datasheet/226695/210240","Ficha Técnica")</f>
        <v>Ficha Técnica</v>
      </c>
      <c r="H879" s="15">
        <v>288</v>
      </c>
      <c r="I879" s="163"/>
      <c r="J879" s="15"/>
      <c r="K879" s="163"/>
      <c r="L879" s="15">
        <v>5</v>
      </c>
      <c r="M879" s="188">
        <v>23.2</v>
      </c>
      <c r="N879" s="169" t="s">
        <v>11</v>
      </c>
    </row>
    <row r="880" spans="1:14" x14ac:dyDescent="0.25">
      <c r="A880" s="63" t="s">
        <v>40</v>
      </c>
      <c r="B880" s="71" t="s">
        <v>2790</v>
      </c>
      <c r="C880" s="2">
        <v>4058075781870</v>
      </c>
      <c r="D880" s="84"/>
      <c r="E880" s="85"/>
      <c r="F880" s="16"/>
      <c r="G880" s="156" t="str">
        <f>HYPERLINK("https://ledvance.com/pt/product-datasheet/226695/210246","Ficha Técnica")</f>
        <v>Ficha Técnica</v>
      </c>
      <c r="H880" s="15">
        <v>288</v>
      </c>
      <c r="I880" s="163"/>
      <c r="J880" s="15"/>
      <c r="K880" s="163"/>
      <c r="L880" s="15">
        <v>5</v>
      </c>
      <c r="M880" s="188">
        <v>23.2</v>
      </c>
      <c r="N880" s="169" t="s">
        <v>11</v>
      </c>
    </row>
    <row r="881" spans="1:14" x14ac:dyDescent="0.25">
      <c r="A881" s="63" t="s">
        <v>40</v>
      </c>
      <c r="B881" s="71" t="s">
        <v>240</v>
      </c>
      <c r="C881" s="2">
        <v>4058075781894</v>
      </c>
      <c r="D881" s="84"/>
      <c r="E881" s="85"/>
      <c r="F881" s="16"/>
      <c r="G881" s="156" t="str">
        <f>HYPERLINK("https://ledvance.com/pt/product-datasheet/226696/210251","Ficha Técnica")</f>
        <v>Ficha Técnica</v>
      </c>
      <c r="H881" s="15">
        <v>800</v>
      </c>
      <c r="I881" s="163"/>
      <c r="J881" s="15"/>
      <c r="K881" s="163"/>
      <c r="L881" s="15">
        <v>5</v>
      </c>
      <c r="M881" s="188">
        <v>11.9</v>
      </c>
      <c r="N881" s="169" t="s">
        <v>11</v>
      </c>
    </row>
    <row r="882" spans="1:14" x14ac:dyDescent="0.25">
      <c r="A882" s="63" t="s">
        <v>40</v>
      </c>
      <c r="B882" s="71" t="s">
        <v>241</v>
      </c>
      <c r="C882" s="2">
        <v>4058075781917</v>
      </c>
      <c r="D882" s="84"/>
      <c r="E882" s="85"/>
      <c r="F882" s="16"/>
      <c r="G882" s="156" t="str">
        <f>HYPERLINK("https://ledvance.com/pt/product-datasheet/226697/210254","Ficha Técnica")</f>
        <v>Ficha Técnica</v>
      </c>
      <c r="H882" s="15">
        <v>400</v>
      </c>
      <c r="I882" s="163"/>
      <c r="J882" s="15"/>
      <c r="K882" s="163"/>
      <c r="L882" s="15">
        <v>5</v>
      </c>
      <c r="M882" s="188">
        <v>23.8</v>
      </c>
      <c r="N882" s="169" t="s">
        <v>11</v>
      </c>
    </row>
    <row r="883" spans="1:14" x14ac:dyDescent="0.25">
      <c r="A883" s="63" t="s">
        <v>40</v>
      </c>
      <c r="B883" s="71" t="s">
        <v>242</v>
      </c>
      <c r="C883" s="2">
        <v>4058075781931</v>
      </c>
      <c r="D883" s="84"/>
      <c r="E883" s="85"/>
      <c r="F883" s="16"/>
      <c r="G883" s="156" t="str">
        <f>HYPERLINK("https://ledvance.com/pt/product-datasheet/226698/210257","Ficha Técnica")</f>
        <v>Ficha Técnica</v>
      </c>
      <c r="H883" s="15">
        <v>300</v>
      </c>
      <c r="I883" s="163"/>
      <c r="J883" s="15"/>
      <c r="K883" s="163"/>
      <c r="L883" s="15">
        <v>5</v>
      </c>
      <c r="M883" s="188">
        <v>5.0999999999999996</v>
      </c>
      <c r="N883" s="169" t="s">
        <v>11</v>
      </c>
    </row>
    <row r="884" spans="1:14" x14ac:dyDescent="0.25">
      <c r="A884" s="63" t="s">
        <v>40</v>
      </c>
      <c r="B884" s="71" t="s">
        <v>243</v>
      </c>
      <c r="C884" s="2">
        <v>4058075781955</v>
      </c>
      <c r="D884" s="84"/>
      <c r="E884" s="85"/>
      <c r="F884" s="16"/>
      <c r="G884" s="156" t="str">
        <f>HYPERLINK("https://ledvance.com/pt/product-datasheet/226698/210260","Ficha Técnica")</f>
        <v>Ficha Técnica</v>
      </c>
      <c r="H884" s="15">
        <v>300</v>
      </c>
      <c r="I884" s="163"/>
      <c r="J884" s="15"/>
      <c r="K884" s="163"/>
      <c r="L884" s="15">
        <v>5</v>
      </c>
      <c r="M884" s="188">
        <v>6.6</v>
      </c>
      <c r="N884" s="169" t="s">
        <v>11</v>
      </c>
    </row>
    <row r="885" spans="1:14" x14ac:dyDescent="0.25">
      <c r="A885" s="63" t="s">
        <v>40</v>
      </c>
      <c r="B885" s="71" t="s">
        <v>1667</v>
      </c>
      <c r="C885" s="2">
        <v>4099854230219</v>
      </c>
      <c r="D885" s="84"/>
      <c r="E885" s="85"/>
      <c r="F885" s="16"/>
      <c r="G885" s="156" t="str">
        <f>HYPERLINK("https://ledvance.com/pt/product-datasheet/226698/283872","Ficha Técnica")</f>
        <v>Ficha Técnica</v>
      </c>
      <c r="H885" s="15">
        <v>300</v>
      </c>
      <c r="I885" s="163"/>
      <c r="J885" s="15"/>
      <c r="K885" s="163"/>
      <c r="L885" s="15">
        <v>5</v>
      </c>
      <c r="M885" s="188">
        <v>12.4</v>
      </c>
      <c r="N885" s="169" t="s">
        <v>11</v>
      </c>
    </row>
    <row r="886" spans="1:14" x14ac:dyDescent="0.25">
      <c r="A886" s="63" t="s">
        <v>40</v>
      </c>
      <c r="B886" s="71" t="s">
        <v>1668</v>
      </c>
      <c r="C886" s="2">
        <v>4099854230233</v>
      </c>
      <c r="D886" s="84"/>
      <c r="E886" s="85"/>
      <c r="F886" s="16"/>
      <c r="G886" s="156" t="str">
        <f>HYPERLINK("https://ledvance.com/pt/product-datasheet/226698/283875","Ficha Técnica")</f>
        <v>Ficha Técnica</v>
      </c>
      <c r="H886" s="15">
        <v>300</v>
      </c>
      <c r="I886" s="163"/>
      <c r="J886" s="15"/>
      <c r="K886" s="163"/>
      <c r="L886" s="15">
        <v>5</v>
      </c>
      <c r="M886" s="188">
        <v>18.5</v>
      </c>
      <c r="N886" s="169" t="s">
        <v>11</v>
      </c>
    </row>
    <row r="887" spans="1:14" x14ac:dyDescent="0.25">
      <c r="A887" s="63" t="s">
        <v>40</v>
      </c>
      <c r="B887" s="71" t="s">
        <v>244</v>
      </c>
      <c r="C887" s="2">
        <v>4058075781979</v>
      </c>
      <c r="D887" s="84"/>
      <c r="E887" s="85"/>
      <c r="F887" s="16"/>
      <c r="G887" s="156" t="str">
        <f>HYPERLINK("https://ledvance.com/pt/product-datasheet/226699/210263","Ficha Técnica")</f>
        <v>Ficha Técnica</v>
      </c>
      <c r="H887" s="15">
        <v>20</v>
      </c>
      <c r="I887" s="163"/>
      <c r="J887" s="15"/>
      <c r="K887" s="163"/>
      <c r="L887" s="15">
        <v>5</v>
      </c>
      <c r="M887" s="188">
        <v>65.2</v>
      </c>
      <c r="N887" s="169" t="s">
        <v>11</v>
      </c>
    </row>
    <row r="888" spans="1:14" x14ac:dyDescent="0.25">
      <c r="A888" s="63" t="s">
        <v>40</v>
      </c>
      <c r="B888" s="71" t="s">
        <v>245</v>
      </c>
      <c r="C888" s="2">
        <v>4058075781993</v>
      </c>
      <c r="D888" s="84"/>
      <c r="E888" s="85"/>
      <c r="F888" s="16"/>
      <c r="G888" s="156" t="str">
        <f>HYPERLINK("https://ledvance.com/pt/product-datasheet/226699/210266","Ficha Técnica")</f>
        <v>Ficha Técnica</v>
      </c>
      <c r="H888" s="15">
        <v>20</v>
      </c>
      <c r="I888" s="163"/>
      <c r="J888" s="15"/>
      <c r="K888" s="163"/>
      <c r="L888" s="15">
        <v>5</v>
      </c>
      <c r="M888" s="188">
        <v>68.099999999999994</v>
      </c>
      <c r="N888" s="169" t="s">
        <v>11</v>
      </c>
    </row>
    <row r="889" spans="1:14" x14ac:dyDescent="0.25">
      <c r="A889" s="63" t="s">
        <v>40</v>
      </c>
      <c r="B889" s="71" t="s">
        <v>246</v>
      </c>
      <c r="C889" s="2">
        <v>4058075782013</v>
      </c>
      <c r="D889" s="84"/>
      <c r="E889" s="85"/>
      <c r="F889" s="16"/>
      <c r="G889" s="156" t="str">
        <f>HYPERLINK("https://ledvance.com/pt/product-datasheet/226701/210269","Ficha Técnica")</f>
        <v>Ficha Técnica</v>
      </c>
      <c r="H889" s="15">
        <v>20</v>
      </c>
      <c r="I889" s="163"/>
      <c r="J889" s="15"/>
      <c r="K889" s="163"/>
      <c r="L889" s="15">
        <v>5</v>
      </c>
      <c r="M889" s="188">
        <v>65.2</v>
      </c>
      <c r="N889" s="169" t="s">
        <v>11</v>
      </c>
    </row>
    <row r="890" spans="1:14" x14ac:dyDescent="0.25">
      <c r="A890" s="63" t="s">
        <v>40</v>
      </c>
      <c r="B890" s="71" t="s">
        <v>247</v>
      </c>
      <c r="C890" s="2">
        <v>4058075782037</v>
      </c>
      <c r="D890" s="84"/>
      <c r="E890" s="85"/>
      <c r="F890" s="16"/>
      <c r="G890" s="156" t="str">
        <f>HYPERLINK("https://ledvance.com/pt/product-datasheet/226701/210272","Ficha Técnica")</f>
        <v>Ficha Técnica</v>
      </c>
      <c r="H890" s="15">
        <v>20</v>
      </c>
      <c r="I890" s="163"/>
      <c r="J890" s="15"/>
      <c r="K890" s="163"/>
      <c r="L890" s="15">
        <v>5</v>
      </c>
      <c r="M890" s="188">
        <v>68.099999999999994</v>
      </c>
      <c r="N890" s="169" t="s">
        <v>11</v>
      </c>
    </row>
    <row r="891" spans="1:14" x14ac:dyDescent="0.25">
      <c r="A891" s="63" t="s">
        <v>40</v>
      </c>
      <c r="B891" s="71" t="s">
        <v>248</v>
      </c>
      <c r="C891" s="2">
        <v>4058075782051</v>
      </c>
      <c r="D891" s="84"/>
      <c r="E891" s="85"/>
      <c r="F891" s="16"/>
      <c r="G891" s="156" t="str">
        <f>HYPERLINK("https://ledvance.com/pt/product-datasheet/226702/210275","Ficha Técnica")</f>
        <v>Ficha Técnica</v>
      </c>
      <c r="H891" s="15">
        <v>4</v>
      </c>
      <c r="I891" s="163"/>
      <c r="J891" s="15"/>
      <c r="K891" s="163"/>
      <c r="L891" s="15">
        <v>5</v>
      </c>
      <c r="M891" s="188">
        <v>153.9</v>
      </c>
      <c r="N891" s="169" t="s">
        <v>11</v>
      </c>
    </row>
    <row r="892" spans="1:14" x14ac:dyDescent="0.25">
      <c r="A892" s="63" t="s">
        <v>40</v>
      </c>
      <c r="B892" s="71" t="s">
        <v>2063</v>
      </c>
      <c r="C892" s="2">
        <v>4058075782075</v>
      </c>
      <c r="D892" s="84"/>
      <c r="E892" s="87"/>
      <c r="F892" s="14"/>
      <c r="G892" s="156" t="str">
        <f>HYPERLINK("https://ledvance.com/pt/product-datasheet/227057/210278","Ficha Técnica")</f>
        <v>Ficha Técnica</v>
      </c>
      <c r="H892" s="58" t="s">
        <v>2056</v>
      </c>
      <c r="I892" s="164"/>
      <c r="J892" s="206"/>
      <c r="K892" s="164"/>
      <c r="L892" s="58">
        <v>5</v>
      </c>
      <c r="M892" s="188">
        <v>186.8</v>
      </c>
      <c r="N892" s="169" t="s">
        <v>11</v>
      </c>
    </row>
    <row r="893" spans="1:14" x14ac:dyDescent="0.25">
      <c r="A893" s="63" t="s">
        <v>40</v>
      </c>
      <c r="B893" s="71" t="s">
        <v>2064</v>
      </c>
      <c r="C893" s="2">
        <v>4058075782099</v>
      </c>
      <c r="D893" s="84"/>
      <c r="E893" s="87"/>
      <c r="F893" s="14"/>
      <c r="G893" s="156" t="str">
        <f>HYPERLINK("https://ledvance.com/pt/product-datasheet/227057/210282","Ficha Técnica")</f>
        <v>Ficha Técnica</v>
      </c>
      <c r="H893" s="58" t="s">
        <v>2056</v>
      </c>
      <c r="I893" s="164"/>
      <c r="J893" s="206"/>
      <c r="K893" s="164"/>
      <c r="L893" s="58">
        <v>5</v>
      </c>
      <c r="M893" s="188">
        <v>194.1</v>
      </c>
      <c r="N893" s="169" t="s">
        <v>11</v>
      </c>
    </row>
    <row r="894" spans="1:14" x14ac:dyDescent="0.25">
      <c r="A894" s="63" t="s">
        <v>40</v>
      </c>
      <c r="B894" s="71" t="s">
        <v>2065</v>
      </c>
      <c r="C894" s="2">
        <v>4058075782082</v>
      </c>
      <c r="D894" s="84"/>
      <c r="E894" s="87"/>
      <c r="F894" s="14"/>
      <c r="G894" s="156" t="str">
        <f>HYPERLINK("https://ledvance.com/pt/product-datasheet/227057/210280","Ficha Técnica")</f>
        <v>Ficha Técnica</v>
      </c>
      <c r="H894" s="58" t="s">
        <v>2056</v>
      </c>
      <c r="I894" s="164"/>
      <c r="J894" s="206"/>
      <c r="K894" s="164"/>
      <c r="L894" s="58">
        <v>5</v>
      </c>
      <c r="M894" s="188">
        <v>186.8</v>
      </c>
      <c r="N894" s="169" t="s">
        <v>11</v>
      </c>
    </row>
    <row r="895" spans="1:14" x14ac:dyDescent="0.25">
      <c r="A895" s="63" t="s">
        <v>40</v>
      </c>
      <c r="B895" s="71" t="s">
        <v>2066</v>
      </c>
      <c r="C895" s="2">
        <v>4058075782105</v>
      </c>
      <c r="D895" s="84"/>
      <c r="E895" s="87"/>
      <c r="F895" s="14"/>
      <c r="G895" s="156" t="str">
        <f>HYPERLINK("https://ledvance.com/pt/product-datasheet/227057/210284","Ficha Técnica")</f>
        <v>Ficha Técnica</v>
      </c>
      <c r="H895" s="58" t="s">
        <v>2056</v>
      </c>
      <c r="I895" s="164"/>
      <c r="J895" s="206"/>
      <c r="K895" s="164"/>
      <c r="L895" s="58">
        <v>5</v>
      </c>
      <c r="M895" s="188">
        <v>194.1</v>
      </c>
      <c r="N895" s="169" t="s">
        <v>11</v>
      </c>
    </row>
    <row r="896" spans="1:14" x14ac:dyDescent="0.25">
      <c r="A896" s="63" t="s">
        <v>40</v>
      </c>
      <c r="B896" s="71" t="s">
        <v>2067</v>
      </c>
      <c r="C896" s="2">
        <v>4058075782112</v>
      </c>
      <c r="D896" s="84"/>
      <c r="E896" s="87"/>
      <c r="F896" s="14"/>
      <c r="G896" s="156" t="str">
        <f>HYPERLINK("https://ledvance.com/pt/product-datasheet/227059/210286","Ficha Técnica")</f>
        <v>Ficha Técnica</v>
      </c>
      <c r="H896" s="58" t="s">
        <v>2056</v>
      </c>
      <c r="I896" s="164"/>
      <c r="J896" s="206"/>
      <c r="K896" s="164"/>
      <c r="L896" s="58">
        <v>5</v>
      </c>
      <c r="M896" s="188">
        <v>246.3</v>
      </c>
      <c r="N896" s="169" t="s">
        <v>11</v>
      </c>
    </row>
    <row r="897" spans="1:14" x14ac:dyDescent="0.25">
      <c r="A897" s="63" t="s">
        <v>40</v>
      </c>
      <c r="B897" s="71" t="s">
        <v>2068</v>
      </c>
      <c r="C897" s="2">
        <v>4058075782143</v>
      </c>
      <c r="D897" s="84"/>
      <c r="E897" s="87"/>
      <c r="F897" s="14"/>
      <c r="G897" s="156" t="str">
        <f>HYPERLINK("https://ledvance.com/pt/product-datasheet/227059/210292","Ficha Técnica")</f>
        <v>Ficha Técnica</v>
      </c>
      <c r="H897" s="58" t="s">
        <v>2056</v>
      </c>
      <c r="I897" s="164"/>
      <c r="J897" s="206"/>
      <c r="K897" s="164"/>
      <c r="L897" s="58">
        <v>5</v>
      </c>
      <c r="M897" s="188">
        <v>255.8</v>
      </c>
      <c r="N897" s="169" t="s">
        <v>11</v>
      </c>
    </row>
    <row r="898" spans="1:14" x14ac:dyDescent="0.25">
      <c r="A898" s="63" t="s">
        <v>40</v>
      </c>
      <c r="B898" s="71" t="s">
        <v>2069</v>
      </c>
      <c r="C898" s="2">
        <v>4058075782129</v>
      </c>
      <c r="D898" s="84"/>
      <c r="E898" s="87"/>
      <c r="F898" s="14"/>
      <c r="G898" s="156" t="str">
        <f>HYPERLINK("https://ledvance.com/pt/product-datasheet/227059/210288","Ficha Técnica")</f>
        <v>Ficha Técnica</v>
      </c>
      <c r="H898" s="58" t="s">
        <v>2056</v>
      </c>
      <c r="I898" s="164"/>
      <c r="J898" s="206"/>
      <c r="K898" s="164"/>
      <c r="L898" s="58">
        <v>5</v>
      </c>
      <c r="M898" s="188">
        <v>246.3</v>
      </c>
      <c r="N898" s="169" t="s">
        <v>11</v>
      </c>
    </row>
    <row r="899" spans="1:14" x14ac:dyDescent="0.25">
      <c r="A899" s="63" t="s">
        <v>40</v>
      </c>
      <c r="B899" s="71" t="s">
        <v>2070</v>
      </c>
      <c r="C899" s="2">
        <v>4058075782150</v>
      </c>
      <c r="D899" s="84"/>
      <c r="E899" s="87"/>
      <c r="F899" s="14"/>
      <c r="G899" s="156" t="str">
        <f>HYPERLINK("https://ledvance.com/pt/product-datasheet/227059/210294","Ficha Técnica")</f>
        <v>Ficha Técnica</v>
      </c>
      <c r="H899" s="58" t="s">
        <v>2056</v>
      </c>
      <c r="I899" s="164"/>
      <c r="J899" s="206"/>
      <c r="K899" s="164"/>
      <c r="L899" s="58">
        <v>5</v>
      </c>
      <c r="M899" s="188">
        <v>255.8</v>
      </c>
      <c r="N899" s="169" t="s">
        <v>11</v>
      </c>
    </row>
    <row r="900" spans="1:14" x14ac:dyDescent="0.25">
      <c r="A900" s="63" t="s">
        <v>40</v>
      </c>
      <c r="B900" s="71" t="s">
        <v>2071</v>
      </c>
      <c r="C900" s="2">
        <v>4058075782136</v>
      </c>
      <c r="D900" s="84"/>
      <c r="E900" s="87"/>
      <c r="F900" s="14"/>
      <c r="G900" s="156" t="str">
        <f>HYPERLINK("https://ledvance.com/pt/product-datasheet/227059/210290","Ficha Técnica")</f>
        <v>Ficha Técnica</v>
      </c>
      <c r="H900" s="58" t="s">
        <v>2056</v>
      </c>
      <c r="I900" s="164"/>
      <c r="J900" s="206"/>
      <c r="K900" s="164"/>
      <c r="L900" s="58">
        <v>5</v>
      </c>
      <c r="M900" s="188">
        <v>246.3</v>
      </c>
      <c r="N900" s="169" t="s">
        <v>11</v>
      </c>
    </row>
    <row r="901" spans="1:14" x14ac:dyDescent="0.25">
      <c r="A901" s="63" t="s">
        <v>40</v>
      </c>
      <c r="B901" s="71" t="s">
        <v>2072</v>
      </c>
      <c r="C901" s="2">
        <v>4058075782167</v>
      </c>
      <c r="D901" s="84"/>
      <c r="E901" s="87"/>
      <c r="F901" s="14"/>
      <c r="G901" s="156" t="str">
        <f>HYPERLINK("https://ledvance.com/pt/product-datasheet/227059/210296","Ficha Técnica")</f>
        <v>Ficha Técnica</v>
      </c>
      <c r="H901" s="58" t="s">
        <v>2056</v>
      </c>
      <c r="I901" s="164"/>
      <c r="J901" s="206"/>
      <c r="K901" s="164"/>
      <c r="L901" s="58">
        <v>5</v>
      </c>
      <c r="M901" s="188">
        <v>255.8</v>
      </c>
      <c r="N901" s="169" t="s">
        <v>11</v>
      </c>
    </row>
    <row r="902" spans="1:14" x14ac:dyDescent="0.25">
      <c r="A902" s="63" t="s">
        <v>40</v>
      </c>
      <c r="B902" s="71" t="s">
        <v>2073</v>
      </c>
      <c r="C902" s="2">
        <v>4058075782174</v>
      </c>
      <c r="D902" s="84"/>
      <c r="E902" s="87"/>
      <c r="F902" s="14"/>
      <c r="G902" s="156" t="str">
        <f>HYPERLINK("https://ledvance.com/pt/product-datasheet/227060/210298","Ficha Técnica")</f>
        <v>Ficha Técnica</v>
      </c>
      <c r="H902" s="58" t="s">
        <v>2056</v>
      </c>
      <c r="I902" s="164"/>
      <c r="J902" s="206"/>
      <c r="K902" s="164"/>
      <c r="L902" s="58">
        <v>5</v>
      </c>
      <c r="M902" s="188">
        <v>321.5</v>
      </c>
      <c r="N902" s="169" t="s">
        <v>11</v>
      </c>
    </row>
    <row r="903" spans="1:14" x14ac:dyDescent="0.25">
      <c r="A903" s="63" t="s">
        <v>40</v>
      </c>
      <c r="B903" s="71" t="s">
        <v>2074</v>
      </c>
      <c r="C903" s="2">
        <v>4058075782181</v>
      </c>
      <c r="D903" s="84"/>
      <c r="E903" s="87"/>
      <c r="F903" s="14"/>
      <c r="G903" s="156" t="str">
        <f>HYPERLINK("https://ledvance.com/pt/product-datasheet/227060/210300","Ficha Técnica")</f>
        <v>Ficha Técnica</v>
      </c>
      <c r="H903" s="58" t="s">
        <v>2056</v>
      </c>
      <c r="I903" s="164"/>
      <c r="J903" s="206"/>
      <c r="K903" s="164"/>
      <c r="L903" s="58">
        <v>5</v>
      </c>
      <c r="M903" s="188">
        <v>359.1</v>
      </c>
      <c r="N903" s="169" t="s">
        <v>11</v>
      </c>
    </row>
    <row r="904" spans="1:14" x14ac:dyDescent="0.25">
      <c r="A904" s="66" t="s">
        <v>8</v>
      </c>
      <c r="B904" s="69" t="s">
        <v>1360</v>
      </c>
      <c r="C904" s="51"/>
      <c r="D904" s="65"/>
      <c r="E904" s="86"/>
      <c r="F904" s="12"/>
      <c r="G904" s="157"/>
      <c r="H904" s="12"/>
      <c r="I904" s="62"/>
      <c r="J904" s="27"/>
      <c r="K904" s="62"/>
      <c r="L904" s="12"/>
      <c r="M904" s="191"/>
      <c r="N904" s="65"/>
    </row>
    <row r="905" spans="1:14" x14ac:dyDescent="0.25">
      <c r="A905" s="63" t="s">
        <v>8</v>
      </c>
      <c r="B905" s="71" t="s">
        <v>2791</v>
      </c>
      <c r="C905" s="2">
        <v>4099854311581</v>
      </c>
      <c r="D905" s="84"/>
      <c r="E905" s="85"/>
      <c r="F905" s="16"/>
      <c r="G905" s="156" t="str">
        <f>HYPERLINK("https://ledvance.com/pt/product-datasheet/318345/308204","Ficha Técnica")</f>
        <v>Ficha Técnica</v>
      </c>
      <c r="H905" s="15">
        <v>4</v>
      </c>
      <c r="I905" s="163" t="s">
        <v>1757</v>
      </c>
      <c r="J905" s="15" t="s">
        <v>1758</v>
      </c>
      <c r="K905" s="163" t="s">
        <v>46</v>
      </c>
      <c r="L905" s="15">
        <v>5</v>
      </c>
      <c r="M905" s="188">
        <v>148.19999999999999</v>
      </c>
      <c r="N905" s="169" t="s">
        <v>11</v>
      </c>
    </row>
    <row r="906" spans="1:14" x14ac:dyDescent="0.25">
      <c r="A906" s="63" t="s">
        <v>8</v>
      </c>
      <c r="B906" s="71" t="s">
        <v>2792</v>
      </c>
      <c r="C906" s="2">
        <v>4099854311604</v>
      </c>
      <c r="D906" s="84"/>
      <c r="E906" s="85"/>
      <c r="F906" s="16"/>
      <c r="G906" s="156" t="str">
        <f>HYPERLINK("https://ledvance.com/pt/product-datasheet/318345/308207","Ficha Técnica")</f>
        <v>Ficha Técnica</v>
      </c>
      <c r="H906" s="15">
        <v>4</v>
      </c>
      <c r="I906" s="163" t="s">
        <v>1757</v>
      </c>
      <c r="J906" s="15" t="s">
        <v>1758</v>
      </c>
      <c r="K906" s="163" t="s">
        <v>46</v>
      </c>
      <c r="L906" s="15">
        <v>5</v>
      </c>
      <c r="M906" s="188">
        <v>148.19999999999999</v>
      </c>
      <c r="N906" s="169" t="s">
        <v>11</v>
      </c>
    </row>
    <row r="907" spans="1:14" x14ac:dyDescent="0.25">
      <c r="A907" s="63" t="s">
        <v>8</v>
      </c>
      <c r="B907" s="71" t="s">
        <v>2793</v>
      </c>
      <c r="C907" s="2">
        <v>4099854311628</v>
      </c>
      <c r="D907" s="84"/>
      <c r="E907" s="85"/>
      <c r="F907" s="16"/>
      <c r="G907" s="156" t="str">
        <f>HYPERLINK("https://ledvance.com/pt/product-datasheet/318345/308210","Ficha Técnica")</f>
        <v>Ficha Técnica</v>
      </c>
      <c r="H907" s="15">
        <v>4</v>
      </c>
      <c r="I907" s="163" t="s">
        <v>1757</v>
      </c>
      <c r="J907" s="15" t="s">
        <v>1758</v>
      </c>
      <c r="K907" s="163" t="s">
        <v>46</v>
      </c>
      <c r="L907" s="15">
        <v>5</v>
      </c>
      <c r="M907" s="188">
        <v>148.19999999999999</v>
      </c>
      <c r="N907" s="169" t="s">
        <v>11</v>
      </c>
    </row>
    <row r="908" spans="1:14" x14ac:dyDescent="0.25">
      <c r="A908" s="66" t="s">
        <v>8</v>
      </c>
      <c r="B908" s="69" t="s">
        <v>1361</v>
      </c>
      <c r="C908" s="51"/>
      <c r="D908" s="65"/>
      <c r="E908" s="86"/>
      <c r="F908" s="12"/>
      <c r="G908" s="157"/>
      <c r="H908" s="12"/>
      <c r="I908" s="62"/>
      <c r="J908" s="27"/>
      <c r="K908" s="62"/>
      <c r="L908" s="12"/>
      <c r="M908" s="191"/>
      <c r="N908" s="65"/>
    </row>
    <row r="909" spans="1:14" x14ac:dyDescent="0.25">
      <c r="A909" s="63" t="s">
        <v>8</v>
      </c>
      <c r="B909" s="71" t="s">
        <v>2794</v>
      </c>
      <c r="C909" s="2">
        <v>4099854311642</v>
      </c>
      <c r="D909" s="84"/>
      <c r="E909" s="85"/>
      <c r="F909" s="16"/>
      <c r="G909" s="156" t="str">
        <f>HYPERLINK("https://ledvance.com/pt/product-datasheet/318346/308213","Ficha Técnica")</f>
        <v>Ficha Técnica</v>
      </c>
      <c r="H909" s="15">
        <v>4</v>
      </c>
      <c r="I909" s="163">
        <v>12750</v>
      </c>
      <c r="J909" s="15">
        <v>75</v>
      </c>
      <c r="K909" s="163" t="s">
        <v>46</v>
      </c>
      <c r="L909" s="15">
        <v>5</v>
      </c>
      <c r="M909" s="188">
        <v>177.8</v>
      </c>
      <c r="N909" s="169" t="s">
        <v>11</v>
      </c>
    </row>
    <row r="910" spans="1:14" x14ac:dyDescent="0.25">
      <c r="A910" s="63" t="s">
        <v>8</v>
      </c>
      <c r="B910" s="71" t="s">
        <v>2795</v>
      </c>
      <c r="C910" s="2">
        <v>4099854311697</v>
      </c>
      <c r="D910" s="84"/>
      <c r="E910" s="85"/>
      <c r="F910" s="16"/>
      <c r="G910" s="156" t="str">
        <f>HYPERLINK("https://ledvance.com/pt/product-datasheet/318346/308219","Ficha Técnica")</f>
        <v>Ficha Técnica</v>
      </c>
      <c r="H910" s="15">
        <v>4</v>
      </c>
      <c r="I910" s="163">
        <v>12750</v>
      </c>
      <c r="J910" s="15">
        <v>75</v>
      </c>
      <c r="K910" s="163" t="s">
        <v>46</v>
      </c>
      <c r="L910" s="15">
        <v>5</v>
      </c>
      <c r="M910" s="188">
        <v>177.8</v>
      </c>
      <c r="N910" s="169" t="s">
        <v>11</v>
      </c>
    </row>
    <row r="911" spans="1:14" x14ac:dyDescent="0.25">
      <c r="A911" s="63" t="s">
        <v>8</v>
      </c>
      <c r="B911" s="71" t="s">
        <v>2796</v>
      </c>
      <c r="C911" s="2">
        <v>4099854311710</v>
      </c>
      <c r="D911" s="84"/>
      <c r="E911" s="85"/>
      <c r="F911" s="16"/>
      <c r="G911" s="156" t="str">
        <f>HYPERLINK("https://ledvance.com/pt/product-datasheet/318346/308225","Ficha Técnica")</f>
        <v>Ficha Técnica</v>
      </c>
      <c r="H911" s="15">
        <v>4</v>
      </c>
      <c r="I911" s="163">
        <v>12750</v>
      </c>
      <c r="J911" s="15">
        <v>75</v>
      </c>
      <c r="K911" s="163" t="s">
        <v>46</v>
      </c>
      <c r="L911" s="15">
        <v>5</v>
      </c>
      <c r="M911" s="188">
        <v>177.8</v>
      </c>
      <c r="N911" s="169" t="s">
        <v>11</v>
      </c>
    </row>
    <row r="912" spans="1:14" x14ac:dyDescent="0.25">
      <c r="A912" s="66" t="s">
        <v>40</v>
      </c>
      <c r="B912" s="69" t="s">
        <v>2110</v>
      </c>
      <c r="C912" s="51"/>
      <c r="D912" s="65"/>
      <c r="E912" s="86"/>
      <c r="F912" s="12"/>
      <c r="G912" s="157"/>
      <c r="H912" s="12"/>
      <c r="I912" s="62"/>
      <c r="J912" s="27"/>
      <c r="K912" s="62"/>
      <c r="L912" s="12"/>
      <c r="M912" s="191"/>
      <c r="N912" s="65"/>
    </row>
    <row r="913" spans="1:14" x14ac:dyDescent="0.25">
      <c r="A913" s="63" t="s">
        <v>40</v>
      </c>
      <c r="B913" s="71" t="s">
        <v>1352</v>
      </c>
      <c r="C913" s="2">
        <v>4099854317347</v>
      </c>
      <c r="D913" s="84"/>
      <c r="E913" s="85"/>
      <c r="F913" s="16"/>
      <c r="G913" s="156" t="str">
        <f>HYPERLINK("https://ledvance.com/pt/product-datasheet/318347/310336","Ficha Técnica")</f>
        <v>Ficha Técnica</v>
      </c>
      <c r="H913" s="15">
        <v>250</v>
      </c>
      <c r="I913" s="163"/>
      <c r="J913" s="15"/>
      <c r="K913" s="163"/>
      <c r="L913" s="15">
        <v>5</v>
      </c>
      <c r="M913" s="188">
        <v>12.5</v>
      </c>
      <c r="N913" s="169" t="s">
        <v>11</v>
      </c>
    </row>
    <row r="914" spans="1:14" x14ac:dyDescent="0.25">
      <c r="A914" s="63" t="s">
        <v>40</v>
      </c>
      <c r="B914" s="71" t="s">
        <v>1353</v>
      </c>
      <c r="C914" s="2">
        <v>4099854317361</v>
      </c>
      <c r="D914" s="84"/>
      <c r="E914" s="85"/>
      <c r="F914" s="16"/>
      <c r="G914" s="156" t="str">
        <f>HYPERLINK("https://ledvance.com/pt/product-datasheet/318347/310339","Ficha Técnica")</f>
        <v>Ficha Técnica</v>
      </c>
      <c r="H914" s="15">
        <v>250</v>
      </c>
      <c r="I914" s="163"/>
      <c r="J914" s="15"/>
      <c r="K914" s="163"/>
      <c r="L914" s="15">
        <v>5</v>
      </c>
      <c r="M914" s="188">
        <v>16.100000000000001</v>
      </c>
      <c r="N914" s="169" t="s">
        <v>11</v>
      </c>
    </row>
    <row r="915" spans="1:14" x14ac:dyDescent="0.25">
      <c r="A915" s="63" t="s">
        <v>40</v>
      </c>
      <c r="B915" s="71" t="s">
        <v>1354</v>
      </c>
      <c r="C915" s="2">
        <v>4099854317385</v>
      </c>
      <c r="D915" s="84"/>
      <c r="E915" s="85"/>
      <c r="F915" s="16"/>
      <c r="G915" s="156" t="str">
        <f>HYPERLINK("https://ledvance.com/pt/product-datasheet/318348/310342","Ficha Técnica")</f>
        <v>Ficha Técnica</v>
      </c>
      <c r="H915" s="15">
        <v>10</v>
      </c>
      <c r="I915" s="163"/>
      <c r="J915" s="15"/>
      <c r="K915" s="163"/>
      <c r="L915" s="15">
        <v>5</v>
      </c>
      <c r="M915" s="188">
        <v>27.7</v>
      </c>
      <c r="N915" s="169" t="s">
        <v>11</v>
      </c>
    </row>
    <row r="916" spans="1:14" x14ac:dyDescent="0.25">
      <c r="A916" s="63" t="s">
        <v>40</v>
      </c>
      <c r="B916" s="71" t="s">
        <v>1355</v>
      </c>
      <c r="C916" s="2">
        <v>4099854317408</v>
      </c>
      <c r="D916" s="84"/>
      <c r="E916" s="85"/>
      <c r="F916" s="16"/>
      <c r="G916" s="156" t="str">
        <f>HYPERLINK("https://ledvance.com/pt/product-datasheet/318349/310345","Ficha Técnica")</f>
        <v>Ficha Técnica</v>
      </c>
      <c r="H916" s="15">
        <v>30</v>
      </c>
      <c r="I916" s="163"/>
      <c r="J916" s="15"/>
      <c r="K916" s="163"/>
      <c r="L916" s="15">
        <v>5</v>
      </c>
      <c r="M916" s="188">
        <v>21.3</v>
      </c>
      <c r="N916" s="169" t="s">
        <v>11</v>
      </c>
    </row>
    <row r="917" spans="1:14" x14ac:dyDescent="0.25">
      <c r="A917" s="63" t="s">
        <v>40</v>
      </c>
      <c r="B917" s="71" t="s">
        <v>1356</v>
      </c>
      <c r="C917" s="2">
        <v>4099854317583</v>
      </c>
      <c r="D917" s="84"/>
      <c r="E917" s="85"/>
      <c r="F917" s="16"/>
      <c r="G917" s="156" t="str">
        <f>HYPERLINK("https://ledvance.com/pt/product-datasheet/318349/310348","Ficha Técnica")</f>
        <v>Ficha Técnica</v>
      </c>
      <c r="H917" s="15">
        <v>30</v>
      </c>
      <c r="I917" s="163"/>
      <c r="J917" s="15"/>
      <c r="K917" s="163"/>
      <c r="L917" s="15">
        <v>5</v>
      </c>
      <c r="M917" s="188">
        <v>27.2</v>
      </c>
      <c r="N917" s="169" t="s">
        <v>11</v>
      </c>
    </row>
    <row r="918" spans="1:14" x14ac:dyDescent="0.25">
      <c r="A918" s="63" t="s">
        <v>40</v>
      </c>
      <c r="B918" s="71" t="s">
        <v>1357</v>
      </c>
      <c r="C918" s="2">
        <v>4099854317606</v>
      </c>
      <c r="D918" s="84"/>
      <c r="E918" s="85"/>
      <c r="F918" s="16"/>
      <c r="G918" s="156" t="str">
        <f>HYPERLINK("https://ledvance.com/pt/product-datasheet/318349/310351","Ficha Técnica")</f>
        <v>Ficha Técnica</v>
      </c>
      <c r="H918" s="15">
        <v>25</v>
      </c>
      <c r="I918" s="163"/>
      <c r="J918" s="15"/>
      <c r="K918" s="163"/>
      <c r="L918" s="15">
        <v>5</v>
      </c>
      <c r="M918" s="188">
        <v>36.5</v>
      </c>
      <c r="N918" s="169" t="s">
        <v>11</v>
      </c>
    </row>
    <row r="919" spans="1:14" x14ac:dyDescent="0.25">
      <c r="A919" s="63" t="s">
        <v>40</v>
      </c>
      <c r="B919" s="71" t="s">
        <v>1358</v>
      </c>
      <c r="C919" s="2">
        <v>4099854317620</v>
      </c>
      <c r="D919" s="84"/>
      <c r="E919" s="85"/>
      <c r="F919" s="16"/>
      <c r="G919" s="156" t="str">
        <f>HYPERLINK("https://ledvance.com/pt/product-datasheet/318349/310360","Ficha Técnica")</f>
        <v>Ficha Técnica</v>
      </c>
      <c r="H919" s="15">
        <v>25</v>
      </c>
      <c r="I919" s="163"/>
      <c r="J919" s="15"/>
      <c r="K919" s="163"/>
      <c r="L919" s="15">
        <v>5</v>
      </c>
      <c r="M919" s="188">
        <v>42.8</v>
      </c>
      <c r="N919" s="169" t="s">
        <v>11</v>
      </c>
    </row>
    <row r="920" spans="1:14" x14ac:dyDescent="0.25">
      <c r="A920" s="63" t="s">
        <v>40</v>
      </c>
      <c r="B920" s="71" t="s">
        <v>1359</v>
      </c>
      <c r="C920" s="2">
        <v>4099854317644</v>
      </c>
      <c r="D920" s="84"/>
      <c r="E920" s="85"/>
      <c r="F920" s="16"/>
      <c r="G920" s="156" t="str">
        <f>HYPERLINK("https://ledvance.com/pt/product-datasheet/318350/310363","Ficha Técnica")</f>
        <v>Ficha Técnica</v>
      </c>
      <c r="H920" s="15">
        <v>500</v>
      </c>
      <c r="I920" s="163"/>
      <c r="J920" s="15"/>
      <c r="K920" s="163"/>
      <c r="L920" s="15">
        <v>5</v>
      </c>
      <c r="M920" s="188">
        <v>6.1</v>
      </c>
      <c r="N920" s="169" t="s">
        <v>11</v>
      </c>
    </row>
    <row r="921" spans="1:14" x14ac:dyDescent="0.25">
      <c r="A921" s="66" t="s">
        <v>8</v>
      </c>
      <c r="B921" s="69" t="s">
        <v>2165</v>
      </c>
      <c r="C921" s="51"/>
      <c r="D921" s="65"/>
      <c r="E921" s="86"/>
      <c r="F921" s="12"/>
      <c r="G921" s="157"/>
      <c r="H921" s="12"/>
      <c r="I921" s="62"/>
      <c r="J921" s="27"/>
      <c r="K921" s="62"/>
      <c r="L921" s="12"/>
      <c r="M921" s="191"/>
      <c r="N921" s="65"/>
    </row>
    <row r="922" spans="1:14" x14ac:dyDescent="0.25">
      <c r="A922" s="63" t="s">
        <v>8</v>
      </c>
      <c r="B922" s="71" t="s">
        <v>2797</v>
      </c>
      <c r="C922" s="2">
        <v>4058075849808</v>
      </c>
      <c r="D922" s="84"/>
      <c r="E922" s="87"/>
      <c r="F922" s="16"/>
      <c r="G922" s="158"/>
      <c r="H922" s="14"/>
      <c r="I922" s="158"/>
      <c r="J922" s="46"/>
      <c r="K922" s="158"/>
      <c r="L922" s="14"/>
      <c r="M922" s="188" t="s">
        <v>2042</v>
      </c>
      <c r="N922" s="169" t="s">
        <v>11</v>
      </c>
    </row>
    <row r="923" spans="1:14" x14ac:dyDescent="0.25">
      <c r="A923" s="63" t="s">
        <v>8</v>
      </c>
      <c r="B923" s="71" t="s">
        <v>2798</v>
      </c>
      <c r="C923" s="2">
        <v>4099854552175</v>
      </c>
      <c r="D923" s="84"/>
      <c r="E923" s="87"/>
      <c r="F923" s="16"/>
      <c r="G923" s="158"/>
      <c r="H923" s="14"/>
      <c r="I923" s="158"/>
      <c r="J923" s="46"/>
      <c r="K923" s="158"/>
      <c r="L923" s="14"/>
      <c r="M923" s="188" t="s">
        <v>2042</v>
      </c>
      <c r="N923" s="169" t="s">
        <v>11</v>
      </c>
    </row>
    <row r="924" spans="1:14" x14ac:dyDescent="0.25">
      <c r="A924" s="63" t="s">
        <v>8</v>
      </c>
      <c r="B924" s="71" t="s">
        <v>2799</v>
      </c>
      <c r="C924" s="2">
        <v>4058075849815</v>
      </c>
      <c r="D924" s="84"/>
      <c r="E924" s="87"/>
      <c r="F924" s="16"/>
      <c r="G924" s="158"/>
      <c r="H924" s="14"/>
      <c r="I924" s="158"/>
      <c r="J924" s="46"/>
      <c r="K924" s="158"/>
      <c r="L924" s="14"/>
      <c r="M924" s="188" t="s">
        <v>2042</v>
      </c>
      <c r="N924" s="169" t="s">
        <v>11</v>
      </c>
    </row>
    <row r="925" spans="1:14" x14ac:dyDescent="0.25">
      <c r="A925" s="63" t="s">
        <v>8</v>
      </c>
      <c r="B925" s="71" t="s">
        <v>2800</v>
      </c>
      <c r="C925" s="2">
        <v>4099854552182</v>
      </c>
      <c r="D925" s="84"/>
      <c r="E925" s="87"/>
      <c r="F925" s="16"/>
      <c r="G925" s="158"/>
      <c r="H925" s="14"/>
      <c r="I925" s="158"/>
      <c r="J925" s="46"/>
      <c r="K925" s="158"/>
      <c r="L925" s="14"/>
      <c r="M925" s="188" t="s">
        <v>2042</v>
      </c>
      <c r="N925" s="169" t="s">
        <v>11</v>
      </c>
    </row>
    <row r="926" spans="1:14" x14ac:dyDescent="0.25">
      <c r="A926" s="63" t="s">
        <v>8</v>
      </c>
      <c r="B926" s="71" t="s">
        <v>2801</v>
      </c>
      <c r="C926" s="2">
        <v>4058075849822</v>
      </c>
      <c r="D926" s="84"/>
      <c r="E926" s="87"/>
      <c r="F926" s="16"/>
      <c r="G926" s="158"/>
      <c r="H926" s="14"/>
      <c r="I926" s="158"/>
      <c r="J926" s="46"/>
      <c r="K926" s="158"/>
      <c r="L926" s="14"/>
      <c r="M926" s="188" t="s">
        <v>2042</v>
      </c>
      <c r="N926" s="169" t="s">
        <v>11</v>
      </c>
    </row>
    <row r="927" spans="1:14" x14ac:dyDescent="0.25">
      <c r="A927" s="63" t="s">
        <v>8</v>
      </c>
      <c r="B927" s="71" t="s">
        <v>2802</v>
      </c>
      <c r="C927" s="2">
        <v>4099854552199</v>
      </c>
      <c r="D927" s="84"/>
      <c r="E927" s="87"/>
      <c r="F927" s="16"/>
      <c r="G927" s="158"/>
      <c r="H927" s="14"/>
      <c r="I927" s="158"/>
      <c r="J927" s="46"/>
      <c r="K927" s="158"/>
      <c r="L927" s="14"/>
      <c r="M927" s="188" t="s">
        <v>2042</v>
      </c>
      <c r="N927" s="169" t="s">
        <v>11</v>
      </c>
    </row>
    <row r="928" spans="1:14" x14ac:dyDescent="0.25">
      <c r="A928" s="63" t="s">
        <v>8</v>
      </c>
      <c r="B928" s="71" t="s">
        <v>2803</v>
      </c>
      <c r="C928" s="2">
        <v>4058075849839</v>
      </c>
      <c r="D928" s="84"/>
      <c r="E928" s="87"/>
      <c r="F928" s="16"/>
      <c r="G928" s="158"/>
      <c r="H928" s="14"/>
      <c r="I928" s="158"/>
      <c r="J928" s="46"/>
      <c r="K928" s="158"/>
      <c r="L928" s="14"/>
      <c r="M928" s="188" t="s">
        <v>2042</v>
      </c>
      <c r="N928" s="169" t="s">
        <v>11</v>
      </c>
    </row>
    <row r="929" spans="1:14" x14ac:dyDescent="0.25">
      <c r="A929" s="63" t="s">
        <v>8</v>
      </c>
      <c r="B929" s="71" t="s">
        <v>2804</v>
      </c>
      <c r="C929" s="2">
        <v>4099854552205</v>
      </c>
      <c r="D929" s="84"/>
      <c r="E929" s="87"/>
      <c r="F929" s="16"/>
      <c r="G929" s="158"/>
      <c r="H929" s="14"/>
      <c r="I929" s="158"/>
      <c r="J929" s="46"/>
      <c r="K929" s="158"/>
      <c r="L929" s="14"/>
      <c r="M929" s="188" t="s">
        <v>2042</v>
      </c>
      <c r="N929" s="169" t="s">
        <v>11</v>
      </c>
    </row>
    <row r="930" spans="1:14" x14ac:dyDescent="0.25">
      <c r="A930" s="63" t="s">
        <v>8</v>
      </c>
      <c r="B930" s="71" t="s">
        <v>2805</v>
      </c>
      <c r="C930" s="2">
        <v>4058075849785</v>
      </c>
      <c r="D930" s="84"/>
      <c r="E930" s="87"/>
      <c r="F930" s="16"/>
      <c r="G930" s="158"/>
      <c r="H930" s="14"/>
      <c r="I930" s="158"/>
      <c r="J930" s="46"/>
      <c r="K930" s="158"/>
      <c r="L930" s="14"/>
      <c r="M930" s="188" t="s">
        <v>2042</v>
      </c>
      <c r="N930" s="169" t="s">
        <v>11</v>
      </c>
    </row>
    <row r="931" spans="1:14" x14ac:dyDescent="0.25">
      <c r="A931" s="63" t="s">
        <v>8</v>
      </c>
      <c r="B931" s="71" t="s">
        <v>2806</v>
      </c>
      <c r="C931" s="2">
        <v>4058075849792</v>
      </c>
      <c r="D931" s="84"/>
      <c r="E931" s="87"/>
      <c r="F931" s="16"/>
      <c r="G931" s="158"/>
      <c r="H931" s="14"/>
      <c r="I931" s="158"/>
      <c r="J931" s="46"/>
      <c r="K931" s="158"/>
      <c r="L931" s="14"/>
      <c r="M931" s="188" t="s">
        <v>2042</v>
      </c>
      <c r="N931" s="169" t="s">
        <v>11</v>
      </c>
    </row>
    <row r="932" spans="1:14" x14ac:dyDescent="0.25">
      <c r="A932" s="63" t="s">
        <v>8</v>
      </c>
      <c r="B932" s="71" t="s">
        <v>2807</v>
      </c>
      <c r="C932" s="2">
        <v>4099854538285</v>
      </c>
      <c r="D932" s="84"/>
      <c r="E932" s="87"/>
      <c r="F932" s="16"/>
      <c r="G932" s="158"/>
      <c r="H932" s="14"/>
      <c r="I932" s="158"/>
      <c r="J932" s="46"/>
      <c r="K932" s="158"/>
      <c r="L932" s="14"/>
      <c r="M932" s="188" t="s">
        <v>2042</v>
      </c>
      <c r="N932" s="169" t="s">
        <v>11</v>
      </c>
    </row>
    <row r="933" spans="1:14" x14ac:dyDescent="0.25">
      <c r="A933" s="63" t="s">
        <v>8</v>
      </c>
      <c r="B933" s="71" t="s">
        <v>2808</v>
      </c>
      <c r="C933" s="2">
        <v>4099854538292</v>
      </c>
      <c r="D933" s="84"/>
      <c r="E933" s="87"/>
      <c r="F933" s="16"/>
      <c r="G933" s="158"/>
      <c r="H933" s="14"/>
      <c r="I933" s="158"/>
      <c r="J933" s="46"/>
      <c r="K933" s="158"/>
      <c r="L933" s="14"/>
      <c r="M933" s="188" t="s">
        <v>2042</v>
      </c>
      <c r="N933" s="169" t="s">
        <v>11</v>
      </c>
    </row>
    <row r="934" spans="1:14" x14ac:dyDescent="0.25">
      <c r="A934" s="63" t="s">
        <v>8</v>
      </c>
      <c r="B934" s="71" t="s">
        <v>2809</v>
      </c>
      <c r="C934" s="2">
        <v>4099854538261</v>
      </c>
      <c r="D934" s="84"/>
      <c r="E934" s="87"/>
      <c r="F934" s="16"/>
      <c r="G934" s="158"/>
      <c r="H934" s="14"/>
      <c r="I934" s="158"/>
      <c r="J934" s="46"/>
      <c r="K934" s="158"/>
      <c r="L934" s="14"/>
      <c r="M934" s="188" t="s">
        <v>2042</v>
      </c>
      <c r="N934" s="169" t="s">
        <v>11</v>
      </c>
    </row>
    <row r="935" spans="1:14" x14ac:dyDescent="0.25">
      <c r="A935" s="63" t="s">
        <v>8</v>
      </c>
      <c r="B935" s="71" t="s">
        <v>2810</v>
      </c>
      <c r="C935" s="2">
        <v>4099854538278</v>
      </c>
      <c r="D935" s="84"/>
      <c r="E935" s="87"/>
      <c r="F935" s="16"/>
      <c r="G935" s="158"/>
      <c r="H935" s="14"/>
      <c r="I935" s="158"/>
      <c r="J935" s="46"/>
      <c r="K935" s="158"/>
      <c r="L935" s="14"/>
      <c r="M935" s="188" t="s">
        <v>2042</v>
      </c>
      <c r="N935" s="169" t="s">
        <v>11</v>
      </c>
    </row>
    <row r="936" spans="1:14" x14ac:dyDescent="0.25">
      <c r="A936" s="63" t="s">
        <v>8</v>
      </c>
      <c r="B936" s="71" t="s">
        <v>2811</v>
      </c>
      <c r="C936" s="2">
        <v>4099854538254</v>
      </c>
      <c r="D936" s="84"/>
      <c r="E936" s="87"/>
      <c r="F936" s="16"/>
      <c r="G936" s="158"/>
      <c r="H936" s="14"/>
      <c r="I936" s="158"/>
      <c r="J936" s="46"/>
      <c r="K936" s="158"/>
      <c r="L936" s="14"/>
      <c r="M936" s="188" t="s">
        <v>2042</v>
      </c>
      <c r="N936" s="169" t="s">
        <v>11</v>
      </c>
    </row>
    <row r="937" spans="1:14" x14ac:dyDescent="0.25">
      <c r="A937" s="63" t="s">
        <v>8</v>
      </c>
      <c r="B937" s="71" t="s">
        <v>2812</v>
      </c>
      <c r="C937" s="2">
        <v>4099854538322</v>
      </c>
      <c r="D937" s="84"/>
      <c r="E937" s="87"/>
      <c r="F937" s="16"/>
      <c r="G937" s="158"/>
      <c r="H937" s="14"/>
      <c r="I937" s="158"/>
      <c r="J937" s="46"/>
      <c r="K937" s="158"/>
      <c r="L937" s="14"/>
      <c r="M937" s="188" t="s">
        <v>2042</v>
      </c>
      <c r="N937" s="169" t="s">
        <v>11</v>
      </c>
    </row>
    <row r="938" spans="1:14" x14ac:dyDescent="0.25">
      <c r="A938" s="63" t="s">
        <v>8</v>
      </c>
      <c r="B938" s="71" t="s">
        <v>2813</v>
      </c>
      <c r="C938" s="2">
        <v>4099854538339</v>
      </c>
      <c r="D938" s="84"/>
      <c r="E938" s="87"/>
      <c r="F938" s="16"/>
      <c r="G938" s="158"/>
      <c r="H938" s="14"/>
      <c r="I938" s="158"/>
      <c r="J938" s="46"/>
      <c r="K938" s="158"/>
      <c r="L938" s="14"/>
      <c r="M938" s="188" t="s">
        <v>2042</v>
      </c>
      <c r="N938" s="169" t="s">
        <v>11</v>
      </c>
    </row>
    <row r="939" spans="1:14" x14ac:dyDescent="0.25">
      <c r="A939" s="63" t="s">
        <v>8</v>
      </c>
      <c r="B939" s="71" t="s">
        <v>2814</v>
      </c>
      <c r="C939" s="2">
        <v>4099854538308</v>
      </c>
      <c r="D939" s="84"/>
      <c r="E939" s="87"/>
      <c r="F939" s="16"/>
      <c r="G939" s="158"/>
      <c r="H939" s="14"/>
      <c r="I939" s="158"/>
      <c r="J939" s="46"/>
      <c r="K939" s="158"/>
      <c r="L939" s="14"/>
      <c r="M939" s="188" t="s">
        <v>2042</v>
      </c>
      <c r="N939" s="169" t="s">
        <v>11</v>
      </c>
    </row>
    <row r="940" spans="1:14" x14ac:dyDescent="0.25">
      <c r="A940" s="63" t="s">
        <v>8</v>
      </c>
      <c r="B940" s="71" t="s">
        <v>2815</v>
      </c>
      <c r="C940" s="2">
        <v>4099854538315</v>
      </c>
      <c r="D940" s="84"/>
      <c r="E940" s="87"/>
      <c r="F940" s="16"/>
      <c r="G940" s="158"/>
      <c r="H940" s="14"/>
      <c r="I940" s="158"/>
      <c r="J940" s="46"/>
      <c r="K940" s="158"/>
      <c r="L940" s="14"/>
      <c r="M940" s="188" t="s">
        <v>2042</v>
      </c>
      <c r="N940" s="169" t="s">
        <v>11</v>
      </c>
    </row>
    <row r="941" spans="1:14" x14ac:dyDescent="0.25">
      <c r="A941" s="66" t="s">
        <v>8</v>
      </c>
      <c r="B941" s="69" t="s">
        <v>2166</v>
      </c>
      <c r="C941" s="51"/>
      <c r="D941" s="65"/>
      <c r="E941" s="86"/>
      <c r="F941" s="12"/>
      <c r="G941" s="157"/>
      <c r="H941" s="12"/>
      <c r="I941" s="62"/>
      <c r="J941" s="27"/>
      <c r="K941" s="62"/>
      <c r="L941" s="12"/>
      <c r="M941" s="191"/>
      <c r="N941" s="65"/>
    </row>
    <row r="942" spans="1:14" x14ac:dyDescent="0.25">
      <c r="A942" s="63" t="s">
        <v>8</v>
      </c>
      <c r="B942" s="71" t="s">
        <v>2816</v>
      </c>
      <c r="C942" s="2">
        <v>4058075452114</v>
      </c>
      <c r="D942" s="84"/>
      <c r="E942" s="85"/>
      <c r="F942" s="16"/>
      <c r="G942" s="156" t="str">
        <f>HYPERLINK("https://ledvance.com/pt/product-datasheet/8834/129663","Ficha Técnica")</f>
        <v>Ficha Técnica</v>
      </c>
      <c r="H942" s="15">
        <v>6</v>
      </c>
      <c r="I942" s="163">
        <v>2800</v>
      </c>
      <c r="J942" s="15">
        <v>22</v>
      </c>
      <c r="K942" s="163" t="s">
        <v>250</v>
      </c>
      <c r="L942" s="15">
        <v>5</v>
      </c>
      <c r="M942" s="188">
        <v>133.69999999999999</v>
      </c>
      <c r="N942" s="169" t="s">
        <v>11</v>
      </c>
    </row>
    <row r="943" spans="1:14" x14ac:dyDescent="0.25">
      <c r="A943" s="63" t="s">
        <v>8</v>
      </c>
      <c r="B943" s="71" t="s">
        <v>2817</v>
      </c>
      <c r="C943" s="2">
        <v>4058075452152</v>
      </c>
      <c r="D943" s="84"/>
      <c r="E943" s="85"/>
      <c r="F943" s="16"/>
      <c r="G943" s="156" t="str">
        <f>HYPERLINK("https://ledvance.com/pt/product-datasheet/8834/129669","Ficha Técnica")</f>
        <v>Ficha Técnica</v>
      </c>
      <c r="H943" s="15">
        <v>6</v>
      </c>
      <c r="I943" s="163">
        <v>5500</v>
      </c>
      <c r="J943" s="15">
        <v>42</v>
      </c>
      <c r="K943" s="163" t="s">
        <v>250</v>
      </c>
      <c r="L943" s="15">
        <v>5</v>
      </c>
      <c r="M943" s="188">
        <v>139.4</v>
      </c>
      <c r="N943" s="169" t="s">
        <v>11</v>
      </c>
    </row>
    <row r="944" spans="1:14" x14ac:dyDescent="0.25">
      <c r="A944" s="63" t="s">
        <v>8</v>
      </c>
      <c r="B944" s="71" t="s">
        <v>2818</v>
      </c>
      <c r="C944" s="2">
        <v>4058075452138</v>
      </c>
      <c r="D944" s="84"/>
      <c r="E944" s="85"/>
      <c r="F944" s="16"/>
      <c r="G944" s="156" t="str">
        <f>HYPERLINK("https://ledvance.com/pt/product-datasheet/8834/129666","Ficha Técnica")</f>
        <v>Ficha Técnica</v>
      </c>
      <c r="H944" s="15">
        <v>6</v>
      </c>
      <c r="I944" s="163">
        <v>3900</v>
      </c>
      <c r="J944" s="15">
        <v>30</v>
      </c>
      <c r="K944" s="163" t="s">
        <v>250</v>
      </c>
      <c r="L944" s="15">
        <v>5</v>
      </c>
      <c r="M944" s="188">
        <v>136.6</v>
      </c>
      <c r="N944" s="169" t="s">
        <v>11</v>
      </c>
    </row>
    <row r="945" spans="1:14" x14ac:dyDescent="0.25">
      <c r="A945" s="63" t="s">
        <v>8</v>
      </c>
      <c r="B945" s="71" t="s">
        <v>2819</v>
      </c>
      <c r="C945" s="2">
        <v>4058075452176</v>
      </c>
      <c r="D945" s="84"/>
      <c r="E945" s="85"/>
      <c r="F945" s="16"/>
      <c r="G945" s="156" t="str">
        <f>HYPERLINK("https://ledvance.com/pt/product-datasheet/8834/129672","Ficha Técnica")</f>
        <v>Ficha Técnica</v>
      </c>
      <c r="H945" s="15">
        <v>6</v>
      </c>
      <c r="I945" s="163">
        <v>6500</v>
      </c>
      <c r="J945" s="15">
        <v>50</v>
      </c>
      <c r="K945" s="163" t="s">
        <v>250</v>
      </c>
      <c r="L945" s="15">
        <v>5</v>
      </c>
      <c r="M945" s="188">
        <v>142.19999999999999</v>
      </c>
      <c r="N945" s="169" t="s">
        <v>11</v>
      </c>
    </row>
    <row r="946" spans="1:14" x14ac:dyDescent="0.25">
      <c r="A946" s="66" t="s">
        <v>8</v>
      </c>
      <c r="B946" s="69" t="s">
        <v>2009</v>
      </c>
      <c r="C946" s="51"/>
      <c r="D946" s="65"/>
      <c r="E946" s="86"/>
      <c r="F946" s="12"/>
      <c r="G946" s="157"/>
      <c r="H946" s="12"/>
      <c r="I946" s="62"/>
      <c r="J946" s="27"/>
      <c r="K946" s="62"/>
      <c r="L946" s="12"/>
      <c r="M946" s="191"/>
      <c r="N946" s="171"/>
    </row>
    <row r="947" spans="1:14" x14ac:dyDescent="0.25">
      <c r="A947" s="63" t="s">
        <v>8</v>
      </c>
      <c r="B947" s="71" t="s">
        <v>2820</v>
      </c>
      <c r="C947" s="2">
        <v>4099854440588</v>
      </c>
      <c r="D947" s="84"/>
      <c r="E947" s="85"/>
      <c r="F947" s="16"/>
      <c r="G947" s="156" t="s">
        <v>2004</v>
      </c>
      <c r="H947" s="15">
        <v>6</v>
      </c>
      <c r="I947" s="163"/>
      <c r="J947" s="15"/>
      <c r="K947" s="163"/>
      <c r="L947" s="15">
        <v>5</v>
      </c>
      <c r="M947" s="188">
        <v>80</v>
      </c>
      <c r="N947" s="169" t="s">
        <v>11</v>
      </c>
    </row>
    <row r="948" spans="1:14" x14ac:dyDescent="0.25">
      <c r="A948" s="63" t="s">
        <v>8</v>
      </c>
      <c r="B948" s="71" t="s">
        <v>2821</v>
      </c>
      <c r="C948" s="2">
        <v>4099854440601</v>
      </c>
      <c r="D948" s="84"/>
      <c r="E948" s="85"/>
      <c r="F948" s="16"/>
      <c r="G948" s="156" t="s">
        <v>2004</v>
      </c>
      <c r="H948" s="15">
        <v>6</v>
      </c>
      <c r="I948" s="163"/>
      <c r="J948" s="15"/>
      <c r="K948" s="163"/>
      <c r="L948" s="15">
        <v>5</v>
      </c>
      <c r="M948" s="188">
        <v>80</v>
      </c>
      <c r="N948" s="169" t="s">
        <v>11</v>
      </c>
    </row>
    <row r="949" spans="1:14" x14ac:dyDescent="0.25">
      <c r="A949" s="63" t="s">
        <v>8</v>
      </c>
      <c r="B949" s="71" t="s">
        <v>2822</v>
      </c>
      <c r="C949" s="2">
        <v>4099854440625</v>
      </c>
      <c r="D949" s="84"/>
      <c r="E949" s="85"/>
      <c r="F949" s="16"/>
      <c r="G949" s="156" t="s">
        <v>2004</v>
      </c>
      <c r="H949" s="15">
        <v>6</v>
      </c>
      <c r="I949" s="163"/>
      <c r="J949" s="15"/>
      <c r="K949" s="163"/>
      <c r="L949" s="15">
        <v>5</v>
      </c>
      <c r="M949" s="188">
        <v>80</v>
      </c>
      <c r="N949" s="169" t="s">
        <v>11</v>
      </c>
    </row>
    <row r="950" spans="1:14" x14ac:dyDescent="0.25">
      <c r="A950" s="63" t="s">
        <v>8</v>
      </c>
      <c r="B950" s="71" t="s">
        <v>2823</v>
      </c>
      <c r="C950" s="2">
        <v>4099854440649</v>
      </c>
      <c r="D950" s="84"/>
      <c r="E950" s="85"/>
      <c r="F950" s="16"/>
      <c r="G950" s="156" t="s">
        <v>2004</v>
      </c>
      <c r="H950" s="15">
        <v>6</v>
      </c>
      <c r="I950" s="163"/>
      <c r="J950" s="15"/>
      <c r="K950" s="163"/>
      <c r="L950" s="15">
        <v>5</v>
      </c>
      <c r="M950" s="188">
        <v>88.9</v>
      </c>
      <c r="N950" s="169" t="s">
        <v>11</v>
      </c>
    </row>
    <row r="951" spans="1:14" x14ac:dyDescent="0.25">
      <c r="A951" s="63" t="s">
        <v>8</v>
      </c>
      <c r="B951" s="71" t="s">
        <v>2824</v>
      </c>
      <c r="C951" s="2">
        <v>4099854440663</v>
      </c>
      <c r="D951" s="84"/>
      <c r="E951" s="85"/>
      <c r="F951" s="16"/>
      <c r="G951" s="156" t="s">
        <v>2004</v>
      </c>
      <c r="H951" s="15">
        <v>6</v>
      </c>
      <c r="I951" s="163"/>
      <c r="J951" s="15"/>
      <c r="K951" s="163"/>
      <c r="L951" s="15">
        <v>5</v>
      </c>
      <c r="M951" s="188">
        <v>88.9</v>
      </c>
      <c r="N951" s="169" t="s">
        <v>11</v>
      </c>
    </row>
    <row r="952" spans="1:14" x14ac:dyDescent="0.25">
      <c r="A952" s="63" t="s">
        <v>8</v>
      </c>
      <c r="B952" s="71" t="s">
        <v>2825</v>
      </c>
      <c r="C952" s="2">
        <v>4099854440687</v>
      </c>
      <c r="D952" s="84"/>
      <c r="E952" s="85"/>
      <c r="F952" s="16"/>
      <c r="G952" s="156" t="s">
        <v>2004</v>
      </c>
      <c r="H952" s="15">
        <v>6</v>
      </c>
      <c r="I952" s="163"/>
      <c r="J952" s="15"/>
      <c r="K952" s="163"/>
      <c r="L952" s="15">
        <v>5</v>
      </c>
      <c r="M952" s="188">
        <v>88.9</v>
      </c>
      <c r="N952" s="169" t="s">
        <v>11</v>
      </c>
    </row>
    <row r="953" spans="1:14" x14ac:dyDescent="0.25">
      <c r="A953" s="66" t="s">
        <v>8</v>
      </c>
      <c r="B953" s="69" t="s">
        <v>2160</v>
      </c>
      <c r="C953" s="51"/>
      <c r="D953" s="65"/>
      <c r="E953" s="86"/>
      <c r="F953" s="12"/>
      <c r="G953" s="157"/>
      <c r="H953" s="12"/>
      <c r="I953" s="62"/>
      <c r="J953" s="27"/>
      <c r="K953" s="62"/>
      <c r="L953" s="12"/>
      <c r="M953" s="191"/>
      <c r="N953" s="65"/>
    </row>
    <row r="954" spans="1:14" x14ac:dyDescent="0.25">
      <c r="A954" s="63" t="s">
        <v>8</v>
      </c>
      <c r="B954" s="71" t="s">
        <v>2826</v>
      </c>
      <c r="C954" s="2">
        <v>4058075424227</v>
      </c>
      <c r="D954" s="84"/>
      <c r="E954" s="85"/>
      <c r="F954" s="16"/>
      <c r="G954" s="156" t="str">
        <f>HYPERLINK("https://ledvance.com/pt/product-datasheet/8827/138753","Ficha Técnica")</f>
        <v>Ficha Técnica</v>
      </c>
      <c r="H954" s="15">
        <v>6</v>
      </c>
      <c r="I954" s="163">
        <v>2600</v>
      </c>
      <c r="J954" s="15">
        <v>23</v>
      </c>
      <c r="K954" s="163" t="s">
        <v>249</v>
      </c>
      <c r="L954" s="15">
        <v>5</v>
      </c>
      <c r="M954" s="188">
        <v>72</v>
      </c>
      <c r="N954" s="169" t="s">
        <v>11</v>
      </c>
    </row>
    <row r="955" spans="1:14" x14ac:dyDescent="0.25">
      <c r="A955" s="63" t="s">
        <v>8</v>
      </c>
      <c r="B955" s="71" t="s">
        <v>2827</v>
      </c>
      <c r="C955" s="2">
        <v>4058075210028</v>
      </c>
      <c r="D955" s="84"/>
      <c r="E955" s="85"/>
      <c r="F955" s="16"/>
      <c r="G955" s="156" t="str">
        <f>HYPERLINK("https://ledvance.com/pt/product-datasheet/8827/138003","Ficha Técnica")</f>
        <v>Ficha Técnica</v>
      </c>
      <c r="H955" s="15">
        <v>6</v>
      </c>
      <c r="I955" s="163">
        <v>2800</v>
      </c>
      <c r="J955" s="15">
        <v>23</v>
      </c>
      <c r="K955" s="163" t="s">
        <v>249</v>
      </c>
      <c r="L955" s="15">
        <v>5</v>
      </c>
      <c r="M955" s="188">
        <v>72</v>
      </c>
      <c r="N955" s="169" t="s">
        <v>11</v>
      </c>
    </row>
    <row r="956" spans="1:14" x14ac:dyDescent="0.25">
      <c r="A956" s="63" t="s">
        <v>8</v>
      </c>
      <c r="B956" s="71" t="s">
        <v>2828</v>
      </c>
      <c r="C956" s="2">
        <v>4058075424241</v>
      </c>
      <c r="D956" s="84"/>
      <c r="E956" s="85"/>
      <c r="F956" s="16"/>
      <c r="G956" s="156" t="str">
        <f>HYPERLINK("https://ledvance.com/pt/product-datasheet/8827/138756","Ficha Técnica")</f>
        <v>Ficha Técnica</v>
      </c>
      <c r="H956" s="15">
        <v>6</v>
      </c>
      <c r="I956" s="163">
        <v>5100</v>
      </c>
      <c r="J956" s="15">
        <v>44</v>
      </c>
      <c r="K956" s="163" t="s">
        <v>249</v>
      </c>
      <c r="L956" s="15">
        <v>5</v>
      </c>
      <c r="M956" s="188">
        <v>77.2</v>
      </c>
      <c r="N956" s="169" t="s">
        <v>11</v>
      </c>
    </row>
    <row r="957" spans="1:14" x14ac:dyDescent="0.25">
      <c r="A957" s="63" t="s">
        <v>8</v>
      </c>
      <c r="B957" s="71" t="s">
        <v>2829</v>
      </c>
      <c r="C957" s="2">
        <v>4058075210042</v>
      </c>
      <c r="D957" s="84"/>
      <c r="E957" s="85"/>
      <c r="F957" s="16"/>
      <c r="G957" s="156" t="str">
        <f>HYPERLINK("https://ledvance.com/pt/product-datasheet/8827/138006","Ficha Técnica")</f>
        <v>Ficha Técnica</v>
      </c>
      <c r="H957" s="15">
        <v>6</v>
      </c>
      <c r="I957" s="163">
        <v>5400</v>
      </c>
      <c r="J957" s="15">
        <v>44</v>
      </c>
      <c r="K957" s="163" t="s">
        <v>249</v>
      </c>
      <c r="L957" s="15">
        <v>5</v>
      </c>
      <c r="M957" s="188">
        <v>77.2</v>
      </c>
      <c r="N957" s="169" t="s">
        <v>11</v>
      </c>
    </row>
    <row r="958" spans="1:14" x14ac:dyDescent="0.25">
      <c r="A958" s="63" t="s">
        <v>8</v>
      </c>
      <c r="B958" s="71" t="s">
        <v>2830</v>
      </c>
      <c r="C958" s="2">
        <v>4058075210066</v>
      </c>
      <c r="D958" s="84"/>
      <c r="E958" s="85"/>
      <c r="F958" s="16"/>
      <c r="G958" s="156" t="str">
        <f>HYPERLINK("https://ledvance.com/pt/product-datasheet/8827/138009","Ficha Técnica")</f>
        <v>Ficha Técnica</v>
      </c>
      <c r="H958" s="15">
        <v>6</v>
      </c>
      <c r="I958" s="163">
        <v>5400</v>
      </c>
      <c r="J958" s="15">
        <v>44</v>
      </c>
      <c r="K958" s="163" t="s">
        <v>249</v>
      </c>
      <c r="L958" s="15">
        <v>5</v>
      </c>
      <c r="M958" s="188">
        <v>77.2</v>
      </c>
      <c r="N958" s="169" t="s">
        <v>11</v>
      </c>
    </row>
    <row r="959" spans="1:14" x14ac:dyDescent="0.25">
      <c r="A959" s="63" t="s">
        <v>8</v>
      </c>
      <c r="B959" s="71" t="s">
        <v>2831</v>
      </c>
      <c r="C959" s="2">
        <v>4058075424265</v>
      </c>
      <c r="D959" s="84"/>
      <c r="E959" s="85"/>
      <c r="F959" s="16"/>
      <c r="G959" s="156" t="str">
        <f>HYPERLINK("https://ledvance.com/pt/product-datasheet/8827/138759","Ficha Técnica")</f>
        <v>Ficha Técnica</v>
      </c>
      <c r="H959" s="15">
        <v>6</v>
      </c>
      <c r="I959" s="163">
        <v>3500</v>
      </c>
      <c r="J959" s="15">
        <v>31</v>
      </c>
      <c r="K959" s="163" t="s">
        <v>249</v>
      </c>
      <c r="L959" s="15">
        <v>5</v>
      </c>
      <c r="M959" s="188">
        <v>75.5</v>
      </c>
      <c r="N959" s="169" t="s">
        <v>11</v>
      </c>
    </row>
    <row r="960" spans="1:14" x14ac:dyDescent="0.25">
      <c r="A960" s="63" t="s">
        <v>8</v>
      </c>
      <c r="B960" s="71" t="s">
        <v>2832</v>
      </c>
      <c r="C960" s="2">
        <v>4058075210080</v>
      </c>
      <c r="D960" s="84"/>
      <c r="E960" s="85"/>
      <c r="F960" s="16"/>
      <c r="G960" s="156" t="str">
        <f>HYPERLINK("https://ledvance.com/pt/product-datasheet/8827/138012","Ficha Técnica")</f>
        <v>Ficha Técnica</v>
      </c>
      <c r="H960" s="15">
        <v>6</v>
      </c>
      <c r="I960" s="163">
        <v>3800</v>
      </c>
      <c r="J960" s="15">
        <v>31</v>
      </c>
      <c r="K960" s="163" t="s">
        <v>249</v>
      </c>
      <c r="L960" s="15">
        <v>5</v>
      </c>
      <c r="M960" s="188">
        <v>75.5</v>
      </c>
      <c r="N960" s="169" t="s">
        <v>11</v>
      </c>
    </row>
    <row r="961" spans="1:14" x14ac:dyDescent="0.25">
      <c r="A961" s="63" t="s">
        <v>8</v>
      </c>
      <c r="B961" s="71" t="s">
        <v>2833</v>
      </c>
      <c r="C961" s="2">
        <v>4058075424289</v>
      </c>
      <c r="D961" s="84"/>
      <c r="E961" s="85"/>
      <c r="F961" s="16"/>
      <c r="G961" s="156" t="str">
        <f>HYPERLINK("https://ledvance.com/pt/product-datasheet/8827/138762","Ficha Técnica")</f>
        <v>Ficha Técnica</v>
      </c>
      <c r="H961" s="15">
        <v>6</v>
      </c>
      <c r="I961" s="163">
        <v>6300</v>
      </c>
      <c r="J961" s="15">
        <v>55</v>
      </c>
      <c r="K961" s="163" t="s">
        <v>249</v>
      </c>
      <c r="L961" s="15">
        <v>5</v>
      </c>
      <c r="M961" s="188">
        <v>82.5</v>
      </c>
      <c r="N961" s="169" t="s">
        <v>11</v>
      </c>
    </row>
    <row r="962" spans="1:14" x14ac:dyDescent="0.25">
      <c r="A962" s="63" t="s">
        <v>8</v>
      </c>
      <c r="B962" s="71" t="s">
        <v>2834</v>
      </c>
      <c r="C962" s="2">
        <v>4058075210103</v>
      </c>
      <c r="D962" s="84"/>
      <c r="E962" s="85"/>
      <c r="F962" s="16"/>
      <c r="G962" s="156" t="str">
        <f>HYPERLINK("https://ledvance.com/pt/product-datasheet/8827/138015","Ficha Técnica")</f>
        <v>Ficha Técnica</v>
      </c>
      <c r="H962" s="15">
        <v>6</v>
      </c>
      <c r="I962" s="163">
        <v>6700</v>
      </c>
      <c r="J962" s="15">
        <v>55</v>
      </c>
      <c r="K962" s="163" t="s">
        <v>249</v>
      </c>
      <c r="L962" s="15">
        <v>5</v>
      </c>
      <c r="M962" s="188">
        <v>82.5</v>
      </c>
      <c r="N962" s="169" t="s">
        <v>11</v>
      </c>
    </row>
    <row r="963" spans="1:14" x14ac:dyDescent="0.25">
      <c r="A963" s="63" t="s">
        <v>8</v>
      </c>
      <c r="B963" s="71" t="s">
        <v>2835</v>
      </c>
      <c r="C963" s="2">
        <v>4058075210127</v>
      </c>
      <c r="D963" s="84"/>
      <c r="E963" s="85"/>
      <c r="F963" s="16"/>
      <c r="G963" s="156" t="str">
        <f>HYPERLINK("https://ledvance.com/pt/product-datasheet/8827/138018","Ficha Técnica")</f>
        <v>Ficha Técnica</v>
      </c>
      <c r="H963" s="15">
        <v>6</v>
      </c>
      <c r="I963" s="163">
        <v>6700</v>
      </c>
      <c r="J963" s="15">
        <v>55</v>
      </c>
      <c r="K963" s="163" t="s">
        <v>249</v>
      </c>
      <c r="L963" s="15">
        <v>5</v>
      </c>
      <c r="M963" s="188">
        <v>82.5</v>
      </c>
      <c r="N963" s="169" t="s">
        <v>11</v>
      </c>
    </row>
    <row r="964" spans="1:14" x14ac:dyDescent="0.25">
      <c r="A964" s="66" t="s">
        <v>8</v>
      </c>
      <c r="B964" s="69" t="s">
        <v>2161</v>
      </c>
      <c r="C964" s="51"/>
      <c r="D964" s="65"/>
      <c r="E964" s="86"/>
      <c r="F964" s="12"/>
      <c r="G964" s="157"/>
      <c r="H964" s="12"/>
      <c r="I964" s="62"/>
      <c r="J964" s="27"/>
      <c r="K964" s="62"/>
      <c r="L964" s="12"/>
      <c r="M964" s="191"/>
      <c r="N964" s="65"/>
    </row>
    <row r="965" spans="1:14" x14ac:dyDescent="0.25">
      <c r="A965" s="63" t="s">
        <v>8</v>
      </c>
      <c r="B965" s="71" t="s">
        <v>2836</v>
      </c>
      <c r="C965" s="2">
        <v>4058075740853</v>
      </c>
      <c r="D965" s="84"/>
      <c r="E965" s="85"/>
      <c r="F965" s="16"/>
      <c r="G965" s="156" t="str">
        <f>HYPERLINK("https://ledvance.com/pt/product-datasheet/227823/200734","Ficha Técnica")</f>
        <v>Ficha Técnica</v>
      </c>
      <c r="H965" s="15">
        <v>9</v>
      </c>
      <c r="I965" s="163">
        <v>1920</v>
      </c>
      <c r="J965" s="15">
        <v>16</v>
      </c>
      <c r="K965" s="163" t="s">
        <v>249</v>
      </c>
      <c r="L965" s="15">
        <v>5</v>
      </c>
      <c r="M965" s="188">
        <v>31.4</v>
      </c>
      <c r="N965" s="169" t="s">
        <v>11</v>
      </c>
    </row>
    <row r="966" spans="1:14" x14ac:dyDescent="0.25">
      <c r="A966" s="63" t="s">
        <v>8</v>
      </c>
      <c r="B966" s="71" t="s">
        <v>2837</v>
      </c>
      <c r="C966" s="2">
        <v>4058075740877</v>
      </c>
      <c r="D966" s="84"/>
      <c r="E966" s="85"/>
      <c r="F966" s="16"/>
      <c r="G966" s="156" t="str">
        <f>HYPERLINK("https://ledvance.com/pt/product-datasheet/227823/200737","Ficha Técnica")</f>
        <v>Ficha Técnica</v>
      </c>
      <c r="H966" s="15">
        <v>9</v>
      </c>
      <c r="I966" s="163" t="s">
        <v>1759</v>
      </c>
      <c r="J966" s="15" t="s">
        <v>1760</v>
      </c>
      <c r="K966" s="163" t="s">
        <v>249</v>
      </c>
      <c r="L966" s="15">
        <v>5</v>
      </c>
      <c r="M966" s="188">
        <v>42.8</v>
      </c>
      <c r="N966" s="169" t="s">
        <v>11</v>
      </c>
    </row>
    <row r="967" spans="1:14" x14ac:dyDescent="0.25">
      <c r="A967" s="63" t="s">
        <v>8</v>
      </c>
      <c r="B967" s="71" t="s">
        <v>2838</v>
      </c>
      <c r="C967" s="2">
        <v>4058075740891</v>
      </c>
      <c r="D967" s="84"/>
      <c r="E967" s="85"/>
      <c r="F967" s="16"/>
      <c r="G967" s="156" t="str">
        <f>HYPERLINK("https://ledvance.com/pt/product-datasheet/227823/200740","Ficha Técnica")</f>
        <v>Ficha Técnica</v>
      </c>
      <c r="H967" s="15">
        <v>6</v>
      </c>
      <c r="I967" s="163" t="s">
        <v>1761</v>
      </c>
      <c r="J967" s="15" t="s">
        <v>1762</v>
      </c>
      <c r="K967" s="163" t="s">
        <v>249</v>
      </c>
      <c r="L967" s="15">
        <v>5</v>
      </c>
      <c r="M967" s="188">
        <v>51.3</v>
      </c>
      <c r="N967" s="169" t="s">
        <v>11</v>
      </c>
    </row>
    <row r="968" spans="1:14" x14ac:dyDescent="0.25">
      <c r="A968" s="63" t="s">
        <v>8</v>
      </c>
      <c r="B968" s="71" t="s">
        <v>2839</v>
      </c>
      <c r="C968" s="2">
        <v>4058075740914</v>
      </c>
      <c r="D968" s="84"/>
      <c r="E968" s="85"/>
      <c r="F968" s="16"/>
      <c r="G968" s="156" t="str">
        <f>HYPERLINK("https://ledvance.com/pt/product-datasheet/227996/200744","Ficha Técnica")</f>
        <v>Ficha Técnica</v>
      </c>
      <c r="H968" s="15">
        <v>9</v>
      </c>
      <c r="I968" s="163" t="s">
        <v>1759</v>
      </c>
      <c r="J968" s="15" t="s">
        <v>1760</v>
      </c>
      <c r="K968" s="163" t="s">
        <v>249</v>
      </c>
      <c r="L968" s="15">
        <v>5</v>
      </c>
      <c r="M968" s="188">
        <v>48.5</v>
      </c>
      <c r="N968" s="169" t="s">
        <v>11</v>
      </c>
    </row>
    <row r="969" spans="1:14" x14ac:dyDescent="0.25">
      <c r="A969" s="63" t="s">
        <v>8</v>
      </c>
      <c r="B969" s="71" t="s">
        <v>2840</v>
      </c>
      <c r="C969" s="2">
        <v>4058075740952</v>
      </c>
      <c r="D969" s="84"/>
      <c r="E969" s="85"/>
      <c r="F969" s="23"/>
      <c r="G969" s="156" t="str">
        <f>HYPERLINK("https://ledvance.com/pt/product-datasheet/227996/200750","Ficha Técnica")</f>
        <v>Ficha Técnica</v>
      </c>
      <c r="H969" s="15">
        <v>9</v>
      </c>
      <c r="I969" s="163" t="s">
        <v>1759</v>
      </c>
      <c r="J969" s="15" t="s">
        <v>1760</v>
      </c>
      <c r="K969" s="163" t="s">
        <v>249</v>
      </c>
      <c r="L969" s="15">
        <v>5</v>
      </c>
      <c r="M969" s="188">
        <v>48.5</v>
      </c>
      <c r="N969" s="169" t="s">
        <v>11</v>
      </c>
    </row>
    <row r="970" spans="1:14" x14ac:dyDescent="0.25">
      <c r="A970" s="63" t="s">
        <v>8</v>
      </c>
      <c r="B970" s="71" t="s">
        <v>2841</v>
      </c>
      <c r="C970" s="2">
        <v>4058075740938</v>
      </c>
      <c r="D970" s="84"/>
      <c r="E970" s="85"/>
      <c r="F970" s="23"/>
      <c r="G970" s="156" t="str">
        <f>HYPERLINK("https://ledvance.com/pt/product-datasheet/227996/200747","Ficha Técnica")</f>
        <v>Ficha Técnica</v>
      </c>
      <c r="H970" s="15">
        <v>6</v>
      </c>
      <c r="I970" s="163" t="s">
        <v>1761</v>
      </c>
      <c r="J970" s="15" t="s">
        <v>1762</v>
      </c>
      <c r="K970" s="163" t="s">
        <v>249</v>
      </c>
      <c r="L970" s="15">
        <v>5</v>
      </c>
      <c r="M970" s="188">
        <v>59.8</v>
      </c>
      <c r="N970" s="169" t="s">
        <v>11</v>
      </c>
    </row>
    <row r="971" spans="1:14" x14ac:dyDescent="0.25">
      <c r="A971" s="63" t="s">
        <v>8</v>
      </c>
      <c r="B971" s="71" t="s">
        <v>2842</v>
      </c>
      <c r="C971" s="2">
        <v>4058075740976</v>
      </c>
      <c r="D971" s="84"/>
      <c r="E971" s="85"/>
      <c r="F971" s="16"/>
      <c r="G971" s="156" t="str">
        <f>HYPERLINK("https://ledvance.com/pt/product-datasheet/227996/200753","Ficha Técnica")</f>
        <v>Ficha Técnica</v>
      </c>
      <c r="H971" s="15">
        <v>6</v>
      </c>
      <c r="I971" s="163" t="s">
        <v>1761</v>
      </c>
      <c r="J971" s="15" t="s">
        <v>1762</v>
      </c>
      <c r="K971" s="163" t="s">
        <v>249</v>
      </c>
      <c r="L971" s="15">
        <v>5</v>
      </c>
      <c r="M971" s="188">
        <v>59.8</v>
      </c>
      <c r="N971" s="169" t="s">
        <v>11</v>
      </c>
    </row>
    <row r="972" spans="1:14" x14ac:dyDescent="0.25">
      <c r="A972" s="63" t="s">
        <v>8</v>
      </c>
      <c r="B972" s="71" t="s">
        <v>2843</v>
      </c>
      <c r="C972" s="2">
        <v>4058075740990</v>
      </c>
      <c r="D972" s="84"/>
      <c r="E972" s="85"/>
      <c r="F972" s="16"/>
      <c r="G972" s="156" t="str">
        <f>HYPERLINK("https://ledvance.com/pt/product-datasheet/227996/200756","Ficha Técnica")</f>
        <v>Ficha Técnica</v>
      </c>
      <c r="H972" s="15">
        <v>6</v>
      </c>
      <c r="I972" s="163">
        <v>7500</v>
      </c>
      <c r="J972" s="15">
        <v>62</v>
      </c>
      <c r="K972" s="163" t="s">
        <v>249</v>
      </c>
      <c r="L972" s="15">
        <v>5</v>
      </c>
      <c r="M972" s="188">
        <v>68.400000000000006</v>
      </c>
      <c r="N972" s="169" t="s">
        <v>11</v>
      </c>
    </row>
    <row r="973" spans="1:14" x14ac:dyDescent="0.25">
      <c r="A973" s="66" t="s">
        <v>8</v>
      </c>
      <c r="B973" s="69" t="s">
        <v>2162</v>
      </c>
      <c r="C973" s="51"/>
      <c r="D973" s="65"/>
      <c r="E973" s="86"/>
      <c r="F973" s="12"/>
      <c r="G973" s="157"/>
      <c r="H973" s="12"/>
      <c r="I973" s="62"/>
      <c r="J973" s="27"/>
      <c r="K973" s="62"/>
      <c r="L973" s="12"/>
      <c r="M973" s="191"/>
      <c r="N973" s="65"/>
    </row>
    <row r="974" spans="1:14" x14ac:dyDescent="0.25">
      <c r="A974" s="63" t="s">
        <v>8</v>
      </c>
      <c r="B974" s="71" t="s">
        <v>2844</v>
      </c>
      <c r="C974" s="2">
        <v>4099854406751</v>
      </c>
      <c r="D974" s="84"/>
      <c r="E974" s="87"/>
      <c r="F974" s="14"/>
      <c r="G974" s="156" t="str">
        <f>HYPERLINK("https://ledvance.com/pt/product-datasheet/364683/330890","Ficha Técnica")</f>
        <v>Ficha Técnica</v>
      </c>
      <c r="H974" s="58" t="s">
        <v>2100</v>
      </c>
      <c r="I974" s="164" t="s">
        <v>4000</v>
      </c>
      <c r="J974" s="206" t="s">
        <v>3975</v>
      </c>
      <c r="K974" s="164" t="s">
        <v>138</v>
      </c>
      <c r="L974" s="58">
        <v>5</v>
      </c>
      <c r="M974" s="188">
        <v>87.5</v>
      </c>
      <c r="N974" s="169" t="s">
        <v>11</v>
      </c>
    </row>
    <row r="975" spans="1:14" x14ac:dyDescent="0.25">
      <c r="A975" s="63" t="s">
        <v>8</v>
      </c>
      <c r="B975" s="71" t="s">
        <v>2845</v>
      </c>
      <c r="C975" s="2">
        <v>4099854406799</v>
      </c>
      <c r="D975" s="84"/>
      <c r="E975" s="87"/>
      <c r="F975" s="14"/>
      <c r="G975" s="156" t="str">
        <f>HYPERLINK("https://ledvance.com/pt/product-datasheet/364683/330893","Ficha Técnica")</f>
        <v>Ficha Técnica</v>
      </c>
      <c r="H975" s="58" t="s">
        <v>2100</v>
      </c>
      <c r="I975" s="164" t="s">
        <v>4001</v>
      </c>
      <c r="J975" s="206" t="s">
        <v>3976</v>
      </c>
      <c r="K975" s="164" t="s">
        <v>138</v>
      </c>
      <c r="L975" s="58">
        <v>5</v>
      </c>
      <c r="M975" s="188">
        <v>91.1</v>
      </c>
      <c r="N975" s="169" t="s">
        <v>11</v>
      </c>
    </row>
    <row r="976" spans="1:14" x14ac:dyDescent="0.25">
      <c r="A976" s="63" t="s">
        <v>8</v>
      </c>
      <c r="B976" s="71" t="s">
        <v>2846</v>
      </c>
      <c r="C976" s="2">
        <v>4099854406836</v>
      </c>
      <c r="D976" s="84"/>
      <c r="E976" s="87"/>
      <c r="F976" s="14"/>
      <c r="G976" s="156" t="str">
        <f>HYPERLINK("https://ledvance.com/pt/product-datasheet/364683/330896","Ficha Técnica")</f>
        <v>Ficha Técnica</v>
      </c>
      <c r="H976" s="58" t="s">
        <v>2100</v>
      </c>
      <c r="I976" s="164" t="s">
        <v>4002</v>
      </c>
      <c r="J976" s="206" t="s">
        <v>3977</v>
      </c>
      <c r="K976" s="164" t="s">
        <v>138</v>
      </c>
      <c r="L976" s="58">
        <v>5</v>
      </c>
      <c r="M976" s="188">
        <v>127.5</v>
      </c>
      <c r="N976" s="169" t="s">
        <v>11</v>
      </c>
    </row>
    <row r="977" spans="1:14" x14ac:dyDescent="0.25">
      <c r="A977" s="66" t="s">
        <v>8</v>
      </c>
      <c r="B977" s="69" t="s">
        <v>2164</v>
      </c>
      <c r="C977" s="51"/>
      <c r="D977" s="65"/>
      <c r="E977" s="86"/>
      <c r="F977" s="12"/>
      <c r="G977" s="157"/>
      <c r="H977" s="12"/>
      <c r="I977" s="62"/>
      <c r="J977" s="27"/>
      <c r="K977" s="62"/>
      <c r="L977" s="12"/>
      <c r="M977" s="191"/>
      <c r="N977" s="65"/>
    </row>
    <row r="978" spans="1:14" x14ac:dyDescent="0.25">
      <c r="A978" s="63" t="s">
        <v>8</v>
      </c>
      <c r="B978" s="71" t="s">
        <v>2847</v>
      </c>
      <c r="C978" s="2">
        <v>4099854480621</v>
      </c>
      <c r="D978" s="84"/>
      <c r="E978" s="87"/>
      <c r="F978" s="14"/>
      <c r="G978" s="156" t="str">
        <f>HYPERLINK("https://ledvance.com/pt/product-datasheet/364684/348925","Ficha Técnica")</f>
        <v>Ficha Técnica</v>
      </c>
      <c r="H978" s="58" t="s">
        <v>2100</v>
      </c>
      <c r="I978" s="164" t="s">
        <v>4001</v>
      </c>
      <c r="J978" s="206" t="s">
        <v>3975</v>
      </c>
      <c r="K978" s="164" t="s">
        <v>138</v>
      </c>
      <c r="L978" s="58">
        <v>5</v>
      </c>
      <c r="M978" s="188">
        <v>99.3</v>
      </c>
      <c r="N978" s="169" t="s">
        <v>11</v>
      </c>
    </row>
    <row r="979" spans="1:14" x14ac:dyDescent="0.25">
      <c r="A979" s="63" t="s">
        <v>8</v>
      </c>
      <c r="B979" s="71" t="s">
        <v>2848</v>
      </c>
      <c r="C979" s="2">
        <v>4099854407031</v>
      </c>
      <c r="D979" s="84"/>
      <c r="E979" s="87"/>
      <c r="F979" s="14"/>
      <c r="G979" s="156" t="str">
        <f>HYPERLINK("https://ledvance.com/pt/product-datasheet/364684/330911","Ficha Técnica")</f>
        <v>Ficha Técnica</v>
      </c>
      <c r="H979" s="58" t="s">
        <v>2100</v>
      </c>
      <c r="I979" s="164" t="s">
        <v>4000</v>
      </c>
      <c r="J979" s="206" t="s">
        <v>3976</v>
      </c>
      <c r="K979" s="164" t="s">
        <v>138</v>
      </c>
      <c r="L979" s="58">
        <v>5</v>
      </c>
      <c r="M979" s="188">
        <v>103</v>
      </c>
      <c r="N979" s="169" t="s">
        <v>11</v>
      </c>
    </row>
    <row r="980" spans="1:14" x14ac:dyDescent="0.25">
      <c r="A980" s="63" t="s">
        <v>8</v>
      </c>
      <c r="B980" s="71" t="s">
        <v>2849</v>
      </c>
      <c r="C980" s="2">
        <v>4099854480669</v>
      </c>
      <c r="D980" s="84"/>
      <c r="E980" s="87"/>
      <c r="F980" s="16"/>
      <c r="G980" s="158"/>
      <c r="H980" s="14"/>
      <c r="I980" s="158"/>
      <c r="J980" s="46"/>
      <c r="K980" s="158"/>
      <c r="L980" s="14"/>
      <c r="M980" s="188">
        <v>136.1</v>
      </c>
      <c r="N980" s="169" t="s">
        <v>11</v>
      </c>
    </row>
    <row r="981" spans="1:14" x14ac:dyDescent="0.25">
      <c r="A981" s="66" t="s">
        <v>8</v>
      </c>
      <c r="B981" s="69" t="s">
        <v>2163</v>
      </c>
      <c r="C981" s="51"/>
      <c r="D981" s="65"/>
      <c r="E981" s="86"/>
      <c r="F981" s="12"/>
      <c r="G981" s="157"/>
      <c r="H981" s="12"/>
      <c r="I981" s="62"/>
      <c r="J981" s="27"/>
      <c r="K981" s="62"/>
      <c r="L981" s="12"/>
      <c r="M981" s="191"/>
      <c r="N981" s="65"/>
    </row>
    <row r="982" spans="1:14" x14ac:dyDescent="0.25">
      <c r="A982" s="63" t="s">
        <v>8</v>
      </c>
      <c r="B982" s="71" t="s">
        <v>2850</v>
      </c>
      <c r="C982" s="2">
        <v>4099854406874</v>
      </c>
      <c r="D982" s="84"/>
      <c r="E982" s="87"/>
      <c r="F982" s="14"/>
      <c r="G982" s="156" t="str">
        <f>HYPERLINK("https://ledvance.com/pt/product-datasheet/364685/330899","Ficha Técnica")</f>
        <v>Ficha Técnica</v>
      </c>
      <c r="H982" s="58" t="s">
        <v>2100</v>
      </c>
      <c r="I982" s="164">
        <v>4640</v>
      </c>
      <c r="J982" s="206">
        <v>29</v>
      </c>
      <c r="K982" s="164" t="s">
        <v>138</v>
      </c>
      <c r="L982" s="58">
        <v>5</v>
      </c>
      <c r="M982" s="188">
        <v>143.5</v>
      </c>
      <c r="N982" s="169" t="s">
        <v>11</v>
      </c>
    </row>
    <row r="983" spans="1:14" x14ac:dyDescent="0.25">
      <c r="A983" s="63" t="s">
        <v>8</v>
      </c>
      <c r="B983" s="71" t="s">
        <v>2851</v>
      </c>
      <c r="C983" s="2">
        <v>4099854406911</v>
      </c>
      <c r="D983" s="84"/>
      <c r="E983" s="87"/>
      <c r="F983" s="14"/>
      <c r="G983" s="156" t="str">
        <f>HYPERLINK("https://ledvance.com/pt/product-datasheet/364685/330902","Ficha Técnica")</f>
        <v>Ficha Técnica</v>
      </c>
      <c r="H983" s="58" t="s">
        <v>2100</v>
      </c>
      <c r="I983" s="164">
        <v>3680</v>
      </c>
      <c r="J983" s="206">
        <v>23</v>
      </c>
      <c r="K983" s="164" t="s">
        <v>138</v>
      </c>
      <c r="L983" s="58">
        <v>5</v>
      </c>
      <c r="M983" s="188">
        <v>144.5</v>
      </c>
      <c r="N983" s="169" t="s">
        <v>11</v>
      </c>
    </row>
    <row r="984" spans="1:14" x14ac:dyDescent="0.25">
      <c r="A984" s="63" t="s">
        <v>8</v>
      </c>
      <c r="B984" s="71" t="s">
        <v>2852</v>
      </c>
      <c r="C984" s="2">
        <v>4099854406959</v>
      </c>
      <c r="D984" s="84"/>
      <c r="E984" s="87"/>
      <c r="F984" s="14"/>
      <c r="G984" s="156" t="str">
        <f>HYPERLINK("https://ledvance.com/pt/product-datasheet/364685/330905","Ficha Técnica")</f>
        <v>Ficha Técnica</v>
      </c>
      <c r="H984" s="58" t="s">
        <v>2100</v>
      </c>
      <c r="I984" s="164">
        <v>6400</v>
      </c>
      <c r="J984" s="206">
        <v>40</v>
      </c>
      <c r="K984" s="164" t="s">
        <v>138</v>
      </c>
      <c r="L984" s="58">
        <v>5</v>
      </c>
      <c r="M984" s="188">
        <v>146.6</v>
      </c>
      <c r="N984" s="169" t="s">
        <v>11</v>
      </c>
    </row>
    <row r="985" spans="1:14" x14ac:dyDescent="0.25">
      <c r="A985" s="63" t="s">
        <v>8</v>
      </c>
      <c r="B985" s="71" t="s">
        <v>2853</v>
      </c>
      <c r="C985" s="2">
        <v>4099854406997</v>
      </c>
      <c r="D985" s="84"/>
      <c r="E985" s="87"/>
      <c r="F985" s="14"/>
      <c r="G985" s="156" t="str">
        <f>HYPERLINK("https://ledvance.com/pt/product-datasheet/364685/330908","Ficha Técnica")</f>
        <v>Ficha Técnica</v>
      </c>
      <c r="H985" s="58" t="s">
        <v>2100</v>
      </c>
      <c r="I985" s="164">
        <v>7800</v>
      </c>
      <c r="J985" s="206">
        <v>49</v>
      </c>
      <c r="K985" s="164" t="s">
        <v>138</v>
      </c>
      <c r="L985" s="58">
        <v>5</v>
      </c>
      <c r="M985" s="188">
        <v>182.9</v>
      </c>
      <c r="N985" s="169" t="s">
        <v>11</v>
      </c>
    </row>
    <row r="986" spans="1:14" x14ac:dyDescent="0.25">
      <c r="A986" s="66" t="s">
        <v>8</v>
      </c>
      <c r="B986" s="69" t="s">
        <v>2167</v>
      </c>
      <c r="C986" s="51"/>
      <c r="D986" s="65"/>
      <c r="E986" s="86"/>
      <c r="F986" s="12"/>
      <c r="G986" s="157"/>
      <c r="H986" s="12"/>
      <c r="I986" s="62"/>
      <c r="J986" s="27"/>
      <c r="K986" s="62"/>
      <c r="L986" s="12"/>
      <c r="M986" s="191"/>
      <c r="N986" s="65"/>
    </row>
    <row r="987" spans="1:14" x14ac:dyDescent="0.25">
      <c r="A987" s="63" t="s">
        <v>8</v>
      </c>
      <c r="B987" s="71" t="s">
        <v>2854</v>
      </c>
      <c r="C987" s="2">
        <v>4058075541047</v>
      </c>
      <c r="D987" s="84"/>
      <c r="E987" s="85"/>
      <c r="F987" s="16"/>
      <c r="G987" s="156" t="str">
        <f>HYPERLINK("https://ledvance.com/pt/product-datasheet/141865/101270","Ficha Técnica")</f>
        <v>Ficha Técnica</v>
      </c>
      <c r="H987" s="15">
        <v>6</v>
      </c>
      <c r="I987" s="163">
        <v>2400</v>
      </c>
      <c r="J987" s="15">
        <v>18</v>
      </c>
      <c r="K987" s="163" t="s">
        <v>138</v>
      </c>
      <c r="L987" s="15">
        <v>5</v>
      </c>
      <c r="M987" s="188">
        <v>73.8</v>
      </c>
      <c r="N987" s="169" t="s">
        <v>11</v>
      </c>
    </row>
    <row r="988" spans="1:14" x14ac:dyDescent="0.25">
      <c r="A988" s="63" t="s">
        <v>8</v>
      </c>
      <c r="B988" s="71" t="s">
        <v>2855</v>
      </c>
      <c r="C988" s="2">
        <v>4058075541061</v>
      </c>
      <c r="D988" s="84"/>
      <c r="E988" s="85"/>
      <c r="F988" s="16"/>
      <c r="G988" s="156" t="str">
        <f>HYPERLINK("https://ledvance.com/pt/product-datasheet/141865/101273","Ficha Técnica")</f>
        <v>Ficha Técnica</v>
      </c>
      <c r="H988" s="15">
        <v>6</v>
      </c>
      <c r="I988" s="163">
        <v>2400</v>
      </c>
      <c r="J988" s="15">
        <v>18</v>
      </c>
      <c r="K988" s="163" t="s">
        <v>138</v>
      </c>
      <c r="L988" s="15">
        <v>5</v>
      </c>
      <c r="M988" s="188">
        <v>73.8</v>
      </c>
      <c r="N988" s="169" t="s">
        <v>11</v>
      </c>
    </row>
    <row r="989" spans="1:14" x14ac:dyDescent="0.25">
      <c r="A989" s="63" t="s">
        <v>8</v>
      </c>
      <c r="B989" s="71" t="s">
        <v>2856</v>
      </c>
      <c r="C989" s="2">
        <v>4058075541085</v>
      </c>
      <c r="D989" s="84"/>
      <c r="E989" s="85"/>
      <c r="F989" s="16"/>
      <c r="G989" s="156" t="str">
        <f>HYPERLINK("https://ledvance.com/pt/product-datasheet/141865/101276","Ficha Técnica")</f>
        <v>Ficha Técnica</v>
      </c>
      <c r="H989" s="15">
        <v>6</v>
      </c>
      <c r="I989" s="163">
        <v>4000</v>
      </c>
      <c r="J989" s="15">
        <v>32</v>
      </c>
      <c r="K989" s="163" t="s">
        <v>138</v>
      </c>
      <c r="L989" s="15">
        <v>5</v>
      </c>
      <c r="M989" s="188">
        <v>84.3</v>
      </c>
      <c r="N989" s="169" t="s">
        <v>11</v>
      </c>
    </row>
    <row r="990" spans="1:14" x14ac:dyDescent="0.25">
      <c r="A990" s="63" t="s">
        <v>8</v>
      </c>
      <c r="B990" s="71" t="s">
        <v>2857</v>
      </c>
      <c r="C990" s="2">
        <v>4058075541108</v>
      </c>
      <c r="D990" s="84"/>
      <c r="E990" s="85"/>
      <c r="F990" s="16"/>
      <c r="G990" s="156" t="str">
        <f>HYPERLINK("https://ledvance.com/pt/product-datasheet/141865/101279","Ficha Técnica")</f>
        <v>Ficha Técnica</v>
      </c>
      <c r="H990" s="15">
        <v>6</v>
      </c>
      <c r="I990" s="163">
        <v>4400</v>
      </c>
      <c r="J990" s="15">
        <v>32</v>
      </c>
      <c r="K990" s="163" t="s">
        <v>138</v>
      </c>
      <c r="L990" s="15">
        <v>5</v>
      </c>
      <c r="M990" s="188">
        <v>84.3</v>
      </c>
      <c r="N990" s="169" t="s">
        <v>11</v>
      </c>
    </row>
    <row r="991" spans="1:14" x14ac:dyDescent="0.25">
      <c r="A991" s="63" t="s">
        <v>8</v>
      </c>
      <c r="B991" s="71" t="s">
        <v>2858</v>
      </c>
      <c r="C991" s="2">
        <v>4058075541122</v>
      </c>
      <c r="D991" s="84"/>
      <c r="E991" s="85"/>
      <c r="F991" s="16"/>
      <c r="G991" s="156" t="str">
        <f>HYPERLINK("https://ledvance.com/pt/product-datasheet/141865/101282","Ficha Técnica")</f>
        <v>Ficha Técnica</v>
      </c>
      <c r="H991" s="15">
        <v>6</v>
      </c>
      <c r="I991" s="163">
        <v>4400</v>
      </c>
      <c r="J991" s="15">
        <v>32</v>
      </c>
      <c r="K991" s="163" t="s">
        <v>138</v>
      </c>
      <c r="L991" s="15">
        <v>5</v>
      </c>
      <c r="M991" s="188">
        <v>84.3</v>
      </c>
      <c r="N991" s="169" t="s">
        <v>11</v>
      </c>
    </row>
    <row r="992" spans="1:14" x14ac:dyDescent="0.25">
      <c r="A992" s="63" t="s">
        <v>8</v>
      </c>
      <c r="B992" s="71" t="s">
        <v>2859</v>
      </c>
      <c r="C992" s="2">
        <v>4058075541146</v>
      </c>
      <c r="D992" s="84"/>
      <c r="E992" s="85"/>
      <c r="F992" s="16"/>
      <c r="G992" s="156" t="str">
        <f>HYPERLINK("https://ledvance.com/pt/product-datasheet/141865/101285","Ficha Técnica")</f>
        <v>Ficha Técnica</v>
      </c>
      <c r="H992" s="15">
        <v>6</v>
      </c>
      <c r="I992" s="163">
        <v>3500</v>
      </c>
      <c r="J992" s="15">
        <v>26</v>
      </c>
      <c r="K992" s="163" t="s">
        <v>138</v>
      </c>
      <c r="L992" s="15">
        <v>5</v>
      </c>
      <c r="M992" s="188">
        <v>84.3</v>
      </c>
      <c r="N992" s="169" t="s">
        <v>11</v>
      </c>
    </row>
    <row r="993" spans="1:14" x14ac:dyDescent="0.25">
      <c r="A993" s="63" t="s">
        <v>8</v>
      </c>
      <c r="B993" s="71" t="s">
        <v>2860</v>
      </c>
      <c r="C993" s="2">
        <v>4058075541160</v>
      </c>
      <c r="D993" s="84"/>
      <c r="E993" s="85"/>
      <c r="F993" s="16"/>
      <c r="G993" s="156" t="str">
        <f>HYPERLINK("https://ledvance.com/pt/product-datasheet/141865/101288","Ficha Técnica")</f>
        <v>Ficha Técnica</v>
      </c>
      <c r="H993" s="15">
        <v>6</v>
      </c>
      <c r="I993" s="163">
        <v>3500</v>
      </c>
      <c r="J993" s="15">
        <v>26</v>
      </c>
      <c r="K993" s="163" t="s">
        <v>138</v>
      </c>
      <c r="L993" s="15">
        <v>5</v>
      </c>
      <c r="M993" s="188">
        <v>84.3</v>
      </c>
      <c r="N993" s="169" t="s">
        <v>11</v>
      </c>
    </row>
    <row r="994" spans="1:14" x14ac:dyDescent="0.25">
      <c r="A994" s="63" t="s">
        <v>8</v>
      </c>
      <c r="B994" s="71" t="s">
        <v>2861</v>
      </c>
      <c r="C994" s="2">
        <v>4058075541184</v>
      </c>
      <c r="D994" s="84"/>
      <c r="E994" s="85"/>
      <c r="F994" s="16"/>
      <c r="G994" s="156" t="str">
        <f>HYPERLINK("https://ledvance.com/pt/product-datasheet/141865/101291","Ficha Técnica")</f>
        <v>Ficha Técnica</v>
      </c>
      <c r="H994" s="15">
        <v>6</v>
      </c>
      <c r="I994" s="163">
        <v>5750</v>
      </c>
      <c r="J994" s="15">
        <v>46</v>
      </c>
      <c r="K994" s="163" t="s">
        <v>138</v>
      </c>
      <c r="L994" s="15">
        <v>5</v>
      </c>
      <c r="M994" s="188">
        <v>87.8</v>
      </c>
      <c r="N994" s="169" t="s">
        <v>11</v>
      </c>
    </row>
    <row r="995" spans="1:14" x14ac:dyDescent="0.25">
      <c r="A995" s="63" t="s">
        <v>8</v>
      </c>
      <c r="B995" s="71" t="s">
        <v>2862</v>
      </c>
      <c r="C995" s="2">
        <v>4058075541207</v>
      </c>
      <c r="D995" s="84"/>
      <c r="E995" s="85"/>
      <c r="F995" s="16"/>
      <c r="G995" s="156" t="str">
        <f>HYPERLINK("https://ledvance.com/pt/product-datasheet/141865/101294","Ficha Técnica")</f>
        <v>Ficha Técnica</v>
      </c>
      <c r="H995" s="15">
        <v>6</v>
      </c>
      <c r="I995" s="163">
        <v>6400</v>
      </c>
      <c r="J995" s="15">
        <v>46</v>
      </c>
      <c r="K995" s="163" t="s">
        <v>138</v>
      </c>
      <c r="L995" s="15">
        <v>5</v>
      </c>
      <c r="M995" s="188">
        <v>87.8</v>
      </c>
      <c r="N995" s="169" t="s">
        <v>11</v>
      </c>
    </row>
    <row r="996" spans="1:14" x14ac:dyDescent="0.25">
      <c r="A996" s="63" t="s">
        <v>8</v>
      </c>
      <c r="B996" s="71" t="s">
        <v>2863</v>
      </c>
      <c r="C996" s="2">
        <v>4058075541221</v>
      </c>
      <c r="D996" s="84"/>
      <c r="E996" s="85"/>
      <c r="F996" s="16"/>
      <c r="G996" s="156" t="str">
        <f>HYPERLINK("https://ledvance.com/pt/product-datasheet/141865/101297","Ficha Técnica")</f>
        <v>Ficha Técnica</v>
      </c>
      <c r="H996" s="15">
        <v>6</v>
      </c>
      <c r="I996" s="163">
        <v>6400</v>
      </c>
      <c r="J996" s="15">
        <v>46</v>
      </c>
      <c r="K996" s="163" t="s">
        <v>138</v>
      </c>
      <c r="L996" s="15">
        <v>5</v>
      </c>
      <c r="M996" s="188">
        <v>87.8</v>
      </c>
      <c r="N996" s="169" t="s">
        <v>11</v>
      </c>
    </row>
    <row r="997" spans="1:14" x14ac:dyDescent="0.25">
      <c r="A997" s="63" t="s">
        <v>8</v>
      </c>
      <c r="B997" s="71" t="s">
        <v>2864</v>
      </c>
      <c r="C997" s="2">
        <v>4058075541245</v>
      </c>
      <c r="D997" s="84"/>
      <c r="E997" s="85"/>
      <c r="F997" s="16"/>
      <c r="G997" s="156" t="str">
        <f>HYPERLINK("https://ledvance.com/pt/product-datasheet/141865/101300","Ficha Técnica")</f>
        <v>Ficha Técnica</v>
      </c>
      <c r="H997" s="15">
        <v>6</v>
      </c>
      <c r="I997" s="163">
        <v>8000</v>
      </c>
      <c r="J997" s="15">
        <v>58</v>
      </c>
      <c r="K997" s="163" t="s">
        <v>138</v>
      </c>
      <c r="L997" s="15">
        <v>5</v>
      </c>
      <c r="M997" s="188">
        <v>122.8</v>
      </c>
      <c r="N997" s="169" t="s">
        <v>11</v>
      </c>
    </row>
    <row r="998" spans="1:14" x14ac:dyDescent="0.25">
      <c r="A998" s="63" t="s">
        <v>8</v>
      </c>
      <c r="B998" s="71" t="s">
        <v>2865</v>
      </c>
      <c r="C998" s="2">
        <v>4058075541269</v>
      </c>
      <c r="D998" s="84"/>
      <c r="E998" s="85"/>
      <c r="F998" s="16"/>
      <c r="G998" s="156" t="str">
        <f>HYPERLINK("https://ledvance.com/pt/product-datasheet/141865/101303","Ficha Técnica")</f>
        <v>Ficha Técnica</v>
      </c>
      <c r="H998" s="15">
        <v>6</v>
      </c>
      <c r="I998" s="163">
        <v>8000</v>
      </c>
      <c r="J998" s="15">
        <v>58</v>
      </c>
      <c r="K998" s="163" t="s">
        <v>138</v>
      </c>
      <c r="L998" s="15">
        <v>5</v>
      </c>
      <c r="M998" s="188">
        <v>122.8</v>
      </c>
      <c r="N998" s="169" t="s">
        <v>11</v>
      </c>
    </row>
    <row r="999" spans="1:14" x14ac:dyDescent="0.25">
      <c r="A999" s="63" t="s">
        <v>8</v>
      </c>
      <c r="B999" s="71" t="s">
        <v>2866</v>
      </c>
      <c r="C999" s="2">
        <v>4058075541283</v>
      </c>
      <c r="D999" s="84"/>
      <c r="E999" s="85"/>
      <c r="F999" s="16"/>
      <c r="G999" s="156" t="str">
        <f>HYPERLINK("https://ledvance.com/pt/product-datasheet/141865/101306","Ficha Técnica")</f>
        <v>Ficha Técnica</v>
      </c>
      <c r="H999" s="15">
        <v>6</v>
      </c>
      <c r="I999" s="163" t="s">
        <v>1763</v>
      </c>
      <c r="J999" s="15" t="s">
        <v>1764</v>
      </c>
      <c r="K999" s="163" t="s">
        <v>138</v>
      </c>
      <c r="L999" s="15">
        <v>5</v>
      </c>
      <c r="M999" s="188">
        <v>157.80000000000001</v>
      </c>
      <c r="N999" s="169" t="s">
        <v>11</v>
      </c>
    </row>
    <row r="1000" spans="1:14" x14ac:dyDescent="0.25">
      <c r="A1000" s="63" t="s">
        <v>8</v>
      </c>
      <c r="B1000" s="71" t="s">
        <v>2867</v>
      </c>
      <c r="C1000" s="2">
        <v>4058075541306</v>
      </c>
      <c r="D1000" s="84"/>
      <c r="E1000" s="85"/>
      <c r="F1000" s="16"/>
      <c r="G1000" s="156" t="str">
        <f>HYPERLINK("https://ledvance.com/pt/product-datasheet/141865/101309","Ficha Técnica")</f>
        <v>Ficha Técnica</v>
      </c>
      <c r="H1000" s="15">
        <v>6</v>
      </c>
      <c r="I1000" s="163" t="s">
        <v>1763</v>
      </c>
      <c r="J1000" s="15" t="s">
        <v>1764</v>
      </c>
      <c r="K1000" s="163" t="s">
        <v>138</v>
      </c>
      <c r="L1000" s="15">
        <v>5</v>
      </c>
      <c r="M1000" s="188">
        <v>157.80000000000001</v>
      </c>
      <c r="N1000" s="169" t="s">
        <v>11</v>
      </c>
    </row>
    <row r="1001" spans="1:14" x14ac:dyDescent="0.25">
      <c r="A1001" s="66" t="s">
        <v>8</v>
      </c>
      <c r="B1001" s="69" t="s">
        <v>2170</v>
      </c>
      <c r="C1001" s="51"/>
      <c r="D1001" s="65"/>
      <c r="E1001" s="86"/>
      <c r="F1001" s="12"/>
      <c r="G1001" s="157"/>
      <c r="H1001" s="12"/>
      <c r="I1001" s="62"/>
      <c r="J1001" s="27"/>
      <c r="K1001" s="62"/>
      <c r="L1001" s="12"/>
      <c r="M1001" s="191"/>
      <c r="N1001" s="65"/>
    </row>
    <row r="1002" spans="1:14" x14ac:dyDescent="0.25">
      <c r="A1002" s="63" t="s">
        <v>8</v>
      </c>
      <c r="B1002" s="71" t="s">
        <v>2868</v>
      </c>
      <c r="C1002" s="59">
        <v>4058075836068</v>
      </c>
      <c r="D1002" s="110"/>
      <c r="E1002" s="112"/>
      <c r="F1002" s="16"/>
      <c r="G1002" s="156" t="str">
        <f>HYPERLINK("https://ledvance.com/pt/product-datasheet/158132/287838","Ficha Técnica")</f>
        <v>Ficha Técnica</v>
      </c>
      <c r="H1002" s="15">
        <v>6</v>
      </c>
      <c r="I1002" s="163">
        <v>2400</v>
      </c>
      <c r="J1002" s="15">
        <v>18</v>
      </c>
      <c r="K1002" s="163" t="s">
        <v>138</v>
      </c>
      <c r="L1002" s="15">
        <v>5</v>
      </c>
      <c r="M1002" s="188">
        <v>76.8</v>
      </c>
      <c r="N1002" s="169" t="s">
        <v>11</v>
      </c>
    </row>
    <row r="1003" spans="1:14" x14ac:dyDescent="0.25">
      <c r="A1003" s="63" t="s">
        <v>8</v>
      </c>
      <c r="B1003" s="71" t="s">
        <v>2869</v>
      </c>
      <c r="C1003" s="2">
        <v>4058075541962</v>
      </c>
      <c r="D1003" s="110"/>
      <c r="E1003" s="85"/>
      <c r="F1003" s="16"/>
      <c r="G1003" s="156" t="str">
        <f>HYPERLINK("https://ledvance.com/pt/product-datasheet/158132/135080","Ficha Técnica")</f>
        <v>Ficha Técnica</v>
      </c>
      <c r="H1003" s="15">
        <v>6</v>
      </c>
      <c r="I1003" s="163">
        <v>4400</v>
      </c>
      <c r="J1003" s="15">
        <v>32</v>
      </c>
      <c r="K1003" s="163" t="s">
        <v>138</v>
      </c>
      <c r="L1003" s="15">
        <v>5</v>
      </c>
      <c r="M1003" s="188">
        <v>87.6</v>
      </c>
      <c r="N1003" s="169" t="s">
        <v>11</v>
      </c>
    </row>
    <row r="1004" spans="1:14" x14ac:dyDescent="0.25">
      <c r="A1004" s="63" t="s">
        <v>8</v>
      </c>
      <c r="B1004" s="71" t="s">
        <v>2870</v>
      </c>
      <c r="C1004" s="59">
        <v>4058075836082</v>
      </c>
      <c r="D1004" s="110"/>
      <c r="E1004" s="111"/>
      <c r="F1004" s="16"/>
      <c r="G1004" s="156" t="str">
        <f>HYPERLINK("https://ledvance.com/pt/product-datasheet/158132/287841","Ficha Técnica")</f>
        <v>Ficha Técnica</v>
      </c>
      <c r="H1004" s="15">
        <v>6</v>
      </c>
      <c r="I1004" s="163">
        <v>3500</v>
      </c>
      <c r="J1004" s="15">
        <v>26</v>
      </c>
      <c r="K1004" s="163" t="s">
        <v>138</v>
      </c>
      <c r="L1004" s="15">
        <v>5</v>
      </c>
      <c r="M1004" s="188">
        <v>89.3</v>
      </c>
      <c r="N1004" s="169" t="s">
        <v>11</v>
      </c>
    </row>
    <row r="1005" spans="1:14" x14ac:dyDescent="0.25">
      <c r="A1005" s="63" t="s">
        <v>8</v>
      </c>
      <c r="B1005" s="71" t="s">
        <v>2871</v>
      </c>
      <c r="C1005" s="2">
        <v>4058075541986</v>
      </c>
      <c r="D1005" s="84"/>
      <c r="E1005" s="85"/>
      <c r="F1005" s="16"/>
      <c r="G1005" s="156" t="str">
        <f>HYPERLINK("https://ledvance.com/pt/product-datasheet/158132/135083","Ficha Técnica")</f>
        <v>Ficha Técnica</v>
      </c>
      <c r="H1005" s="15">
        <v>6</v>
      </c>
      <c r="I1005" s="163">
        <v>6400</v>
      </c>
      <c r="J1005" s="15">
        <v>46</v>
      </c>
      <c r="K1005" s="163" t="s">
        <v>138</v>
      </c>
      <c r="L1005" s="15">
        <v>5</v>
      </c>
      <c r="M1005" s="188">
        <v>92.3</v>
      </c>
      <c r="N1005" s="169" t="s">
        <v>11</v>
      </c>
    </row>
    <row r="1006" spans="1:14" x14ac:dyDescent="0.25">
      <c r="A1006" s="63" t="s">
        <v>8</v>
      </c>
      <c r="B1006" s="71" t="s">
        <v>2872</v>
      </c>
      <c r="C1006" s="2">
        <v>4058075542006</v>
      </c>
      <c r="D1006" s="84"/>
      <c r="E1006" s="85"/>
      <c r="F1006" s="16"/>
      <c r="G1006" s="156" t="str">
        <f>HYPERLINK("https://ledvance.com/pt/product-datasheet/158132/135086","Ficha Técnica")</f>
        <v>Ficha Técnica</v>
      </c>
      <c r="H1006" s="15">
        <v>6</v>
      </c>
      <c r="I1006" s="163">
        <v>8000</v>
      </c>
      <c r="J1006" s="15">
        <v>58</v>
      </c>
      <c r="K1006" s="163" t="s">
        <v>138</v>
      </c>
      <c r="L1006" s="15">
        <v>5</v>
      </c>
      <c r="M1006" s="188">
        <v>129.9</v>
      </c>
      <c r="N1006" s="169" t="s">
        <v>11</v>
      </c>
    </row>
    <row r="1007" spans="1:14" x14ac:dyDescent="0.25">
      <c r="A1007" s="66" t="s">
        <v>8</v>
      </c>
      <c r="B1007" s="69" t="s">
        <v>2168</v>
      </c>
      <c r="C1007" s="51"/>
      <c r="D1007" s="65"/>
      <c r="E1007" s="86"/>
      <c r="F1007" s="12"/>
      <c r="G1007" s="157"/>
      <c r="H1007" s="12"/>
      <c r="I1007" s="62"/>
      <c r="J1007" s="27"/>
      <c r="K1007" s="62"/>
      <c r="L1007" s="12"/>
      <c r="M1007" s="191"/>
      <c r="N1007" s="65"/>
    </row>
    <row r="1008" spans="1:14" x14ac:dyDescent="0.25">
      <c r="A1008" s="63" t="s">
        <v>8</v>
      </c>
      <c r="B1008" s="71" t="s">
        <v>2873</v>
      </c>
      <c r="C1008" s="2">
        <v>4058075541641</v>
      </c>
      <c r="D1008" s="84"/>
      <c r="E1008" s="85"/>
      <c r="F1008" s="16"/>
      <c r="G1008" s="156" t="str">
        <f>HYPERLINK("https://ledvance.com/pt/product-datasheet/141867/134291","Ficha Técnica")</f>
        <v>Ficha Técnica</v>
      </c>
      <c r="H1008" s="15">
        <v>6</v>
      </c>
      <c r="I1008" s="163">
        <v>2400</v>
      </c>
      <c r="J1008" s="15">
        <v>18</v>
      </c>
      <c r="K1008" s="163" t="s">
        <v>138</v>
      </c>
      <c r="L1008" s="15">
        <v>5</v>
      </c>
      <c r="M1008" s="188">
        <v>129.80000000000001</v>
      </c>
      <c r="N1008" s="169" t="s">
        <v>11</v>
      </c>
    </row>
    <row r="1009" spans="1:14" x14ac:dyDescent="0.25">
      <c r="A1009" s="63" t="s">
        <v>8</v>
      </c>
      <c r="B1009" s="71" t="s">
        <v>2874</v>
      </c>
      <c r="C1009" s="2">
        <v>4058075541665</v>
      </c>
      <c r="D1009" s="84"/>
      <c r="E1009" s="85"/>
      <c r="F1009" s="16"/>
      <c r="G1009" s="156" t="str">
        <f>HYPERLINK("https://ledvance.com/pt/product-datasheet/141867/134294","Ficha Técnica")</f>
        <v>Ficha Técnica</v>
      </c>
      <c r="H1009" s="15">
        <v>6</v>
      </c>
      <c r="I1009" s="163">
        <v>2400</v>
      </c>
      <c r="J1009" s="15">
        <v>18</v>
      </c>
      <c r="K1009" s="163" t="s">
        <v>138</v>
      </c>
      <c r="L1009" s="15">
        <v>5</v>
      </c>
      <c r="M1009" s="188">
        <v>129.80000000000001</v>
      </c>
      <c r="N1009" s="169" t="s">
        <v>11</v>
      </c>
    </row>
    <row r="1010" spans="1:14" x14ac:dyDescent="0.25">
      <c r="A1010" s="63" t="s">
        <v>8</v>
      </c>
      <c r="B1010" s="71" t="s">
        <v>2875</v>
      </c>
      <c r="C1010" s="2">
        <v>4058075541689</v>
      </c>
      <c r="D1010" s="84"/>
      <c r="E1010" s="85"/>
      <c r="F1010" s="16"/>
      <c r="G1010" s="156" t="str">
        <f>HYPERLINK("https://ledvance.com/pt/product-datasheet/141867/35813","Ficha Técnica")</f>
        <v>Ficha Técnica</v>
      </c>
      <c r="H1010" s="15">
        <v>6</v>
      </c>
      <c r="I1010" s="163">
        <v>4000</v>
      </c>
      <c r="J1010" s="15">
        <v>32</v>
      </c>
      <c r="K1010" s="163" t="s">
        <v>138</v>
      </c>
      <c r="L1010" s="15">
        <v>5</v>
      </c>
      <c r="M1010" s="188">
        <v>140.30000000000001</v>
      </c>
      <c r="N1010" s="169" t="s">
        <v>11</v>
      </c>
    </row>
    <row r="1011" spans="1:14" x14ac:dyDescent="0.25">
      <c r="A1011" s="63" t="s">
        <v>8</v>
      </c>
      <c r="B1011" s="71" t="s">
        <v>2876</v>
      </c>
      <c r="C1011" s="2">
        <v>4058075541702</v>
      </c>
      <c r="D1011" s="84"/>
      <c r="E1011" s="85"/>
      <c r="F1011" s="16"/>
      <c r="G1011" s="156" t="str">
        <f>HYPERLINK("https://ledvance.com/pt/product-datasheet/141867/35816","Ficha Técnica")</f>
        <v>Ficha Técnica</v>
      </c>
      <c r="H1011" s="15">
        <v>6</v>
      </c>
      <c r="I1011" s="163">
        <v>4400</v>
      </c>
      <c r="J1011" s="15">
        <v>32</v>
      </c>
      <c r="K1011" s="163" t="s">
        <v>138</v>
      </c>
      <c r="L1011" s="15">
        <v>5</v>
      </c>
      <c r="M1011" s="188">
        <v>140.30000000000001</v>
      </c>
      <c r="N1011" s="169" t="s">
        <v>11</v>
      </c>
    </row>
    <row r="1012" spans="1:14" x14ac:dyDescent="0.25">
      <c r="A1012" s="63" t="s">
        <v>8</v>
      </c>
      <c r="B1012" s="71" t="s">
        <v>2877</v>
      </c>
      <c r="C1012" s="2">
        <v>4058075541726</v>
      </c>
      <c r="D1012" s="84"/>
      <c r="E1012" s="85"/>
      <c r="F1012" s="16"/>
      <c r="G1012" s="156" t="str">
        <f>HYPERLINK("https://ledvance.com/pt/product-datasheet/141867/35819","Ficha Técnica")</f>
        <v>Ficha Técnica</v>
      </c>
      <c r="H1012" s="15">
        <v>6</v>
      </c>
      <c r="I1012" s="163">
        <v>4400</v>
      </c>
      <c r="J1012" s="15">
        <v>32</v>
      </c>
      <c r="K1012" s="163" t="s">
        <v>138</v>
      </c>
      <c r="L1012" s="15">
        <v>5</v>
      </c>
      <c r="M1012" s="188">
        <v>140.30000000000001</v>
      </c>
      <c r="N1012" s="169" t="s">
        <v>11</v>
      </c>
    </row>
    <row r="1013" spans="1:14" x14ac:dyDescent="0.25">
      <c r="A1013" s="63" t="s">
        <v>8</v>
      </c>
      <c r="B1013" s="71" t="s">
        <v>2878</v>
      </c>
      <c r="C1013" s="2">
        <v>4058075541740</v>
      </c>
      <c r="D1013" s="84"/>
      <c r="E1013" s="85"/>
      <c r="F1013" s="16"/>
      <c r="G1013" s="156" t="str">
        <f>HYPERLINK("https://ledvance.com/pt/product-datasheet/141867/35822","Ficha Técnica")</f>
        <v>Ficha Técnica</v>
      </c>
      <c r="H1013" s="15">
        <v>6</v>
      </c>
      <c r="I1013" s="163">
        <v>3500</v>
      </c>
      <c r="J1013" s="15">
        <v>26</v>
      </c>
      <c r="K1013" s="163" t="s">
        <v>138</v>
      </c>
      <c r="L1013" s="15">
        <v>5</v>
      </c>
      <c r="M1013" s="188">
        <v>140.4</v>
      </c>
      <c r="N1013" s="169" t="s">
        <v>11</v>
      </c>
    </row>
    <row r="1014" spans="1:14" x14ac:dyDescent="0.25">
      <c r="A1014" s="63" t="s">
        <v>8</v>
      </c>
      <c r="B1014" s="71" t="s">
        <v>2879</v>
      </c>
      <c r="C1014" s="2">
        <v>4058075541764</v>
      </c>
      <c r="D1014" s="84"/>
      <c r="E1014" s="85"/>
      <c r="F1014" s="16"/>
      <c r="G1014" s="156" t="str">
        <f>HYPERLINK("https://ledvance.com/pt/product-datasheet/141867/35825","Ficha Técnica")</f>
        <v>Ficha Técnica</v>
      </c>
      <c r="H1014" s="15">
        <v>6</v>
      </c>
      <c r="I1014" s="163">
        <v>3500</v>
      </c>
      <c r="J1014" s="15">
        <v>26</v>
      </c>
      <c r="K1014" s="163" t="s">
        <v>138</v>
      </c>
      <c r="L1014" s="15">
        <v>5</v>
      </c>
      <c r="M1014" s="188">
        <v>140.4</v>
      </c>
      <c r="N1014" s="169" t="s">
        <v>11</v>
      </c>
    </row>
    <row r="1015" spans="1:14" x14ac:dyDescent="0.25">
      <c r="A1015" s="63" t="s">
        <v>8</v>
      </c>
      <c r="B1015" s="71" t="s">
        <v>2880</v>
      </c>
      <c r="C1015" s="2">
        <v>4058075541788</v>
      </c>
      <c r="D1015" s="84"/>
      <c r="E1015" s="85"/>
      <c r="F1015" s="16"/>
      <c r="G1015" s="156" t="str">
        <f>HYPERLINK("https://ledvance.com/pt/product-datasheet/141867/35828","Ficha Técnica")</f>
        <v>Ficha Técnica</v>
      </c>
      <c r="H1015" s="15">
        <v>6</v>
      </c>
      <c r="I1015" s="163">
        <v>5750</v>
      </c>
      <c r="J1015" s="15">
        <v>46</v>
      </c>
      <c r="K1015" s="163" t="s">
        <v>138</v>
      </c>
      <c r="L1015" s="15">
        <v>5</v>
      </c>
      <c r="M1015" s="188">
        <v>143.9</v>
      </c>
      <c r="N1015" s="169" t="s">
        <v>11</v>
      </c>
    </row>
    <row r="1016" spans="1:14" x14ac:dyDescent="0.25">
      <c r="A1016" s="63" t="s">
        <v>8</v>
      </c>
      <c r="B1016" s="71" t="s">
        <v>2881</v>
      </c>
      <c r="C1016" s="2">
        <v>4058075541801</v>
      </c>
      <c r="D1016" s="84"/>
      <c r="E1016" s="85"/>
      <c r="F1016" s="16"/>
      <c r="G1016" s="156" t="str">
        <f>HYPERLINK("https://ledvance.com/pt/product-datasheet/141867/35831","Ficha Técnica")</f>
        <v>Ficha Técnica</v>
      </c>
      <c r="H1016" s="15">
        <v>6</v>
      </c>
      <c r="I1016" s="163">
        <v>6400</v>
      </c>
      <c r="J1016" s="15">
        <v>46</v>
      </c>
      <c r="K1016" s="163" t="s">
        <v>138</v>
      </c>
      <c r="L1016" s="15">
        <v>5</v>
      </c>
      <c r="M1016" s="188">
        <v>143.9</v>
      </c>
      <c r="N1016" s="169" t="s">
        <v>11</v>
      </c>
    </row>
    <row r="1017" spans="1:14" x14ac:dyDescent="0.25">
      <c r="A1017" s="63" t="s">
        <v>8</v>
      </c>
      <c r="B1017" s="71" t="s">
        <v>2882</v>
      </c>
      <c r="C1017" s="2">
        <v>4058075541825</v>
      </c>
      <c r="D1017" s="84"/>
      <c r="E1017" s="85"/>
      <c r="F1017" s="16"/>
      <c r="G1017" s="156" t="str">
        <f>HYPERLINK("https://ledvance.com/pt/product-datasheet/141867/35957","Ficha Técnica")</f>
        <v>Ficha Técnica</v>
      </c>
      <c r="H1017" s="15">
        <v>6</v>
      </c>
      <c r="I1017" s="163">
        <v>6400</v>
      </c>
      <c r="J1017" s="15">
        <v>46</v>
      </c>
      <c r="K1017" s="163" t="s">
        <v>138</v>
      </c>
      <c r="L1017" s="15">
        <v>5</v>
      </c>
      <c r="M1017" s="188">
        <v>143.9</v>
      </c>
      <c r="N1017" s="169" t="s">
        <v>11</v>
      </c>
    </row>
    <row r="1018" spans="1:14" x14ac:dyDescent="0.25">
      <c r="A1018" s="63" t="s">
        <v>8</v>
      </c>
      <c r="B1018" s="71" t="s">
        <v>2883</v>
      </c>
      <c r="C1018" s="2">
        <v>4058075541849</v>
      </c>
      <c r="D1018" s="84"/>
      <c r="E1018" s="85"/>
      <c r="F1018" s="16"/>
      <c r="G1018" s="156" t="str">
        <f>HYPERLINK("https://ledvance.com/pt/product-datasheet/141867/35960","Ficha Técnica")</f>
        <v>Ficha Técnica</v>
      </c>
      <c r="H1018" s="15">
        <v>6</v>
      </c>
      <c r="I1018" s="163">
        <v>8000</v>
      </c>
      <c r="J1018" s="15">
        <v>58</v>
      </c>
      <c r="K1018" s="163" t="s">
        <v>138</v>
      </c>
      <c r="L1018" s="15">
        <v>5</v>
      </c>
      <c r="M1018" s="188">
        <v>178.9</v>
      </c>
      <c r="N1018" s="169" t="s">
        <v>11</v>
      </c>
    </row>
    <row r="1019" spans="1:14" x14ac:dyDescent="0.25">
      <c r="A1019" s="63" t="s">
        <v>8</v>
      </c>
      <c r="B1019" s="71" t="s">
        <v>2884</v>
      </c>
      <c r="C1019" s="2">
        <v>4058075541863</v>
      </c>
      <c r="D1019" s="84"/>
      <c r="E1019" s="85"/>
      <c r="F1019" s="16"/>
      <c r="G1019" s="156" t="str">
        <f>HYPERLINK("https://ledvance.com/pt/product-datasheet/141867/35963","Ficha Técnica")</f>
        <v>Ficha Técnica</v>
      </c>
      <c r="H1019" s="15">
        <v>6</v>
      </c>
      <c r="I1019" s="163">
        <v>8000</v>
      </c>
      <c r="J1019" s="15">
        <v>58</v>
      </c>
      <c r="K1019" s="163" t="s">
        <v>138</v>
      </c>
      <c r="L1019" s="15">
        <v>5</v>
      </c>
      <c r="M1019" s="188">
        <v>178.9</v>
      </c>
      <c r="N1019" s="169" t="s">
        <v>11</v>
      </c>
    </row>
    <row r="1020" spans="1:14" x14ac:dyDescent="0.25">
      <c r="A1020" s="66" t="s">
        <v>8</v>
      </c>
      <c r="B1020" s="69" t="s">
        <v>2169</v>
      </c>
      <c r="C1020" s="51"/>
      <c r="D1020" s="65"/>
      <c r="E1020" s="86"/>
      <c r="F1020" s="12"/>
      <c r="G1020" s="157"/>
      <c r="H1020" s="12"/>
      <c r="I1020" s="62"/>
      <c r="J1020" s="27"/>
      <c r="K1020" s="62"/>
      <c r="L1020" s="12"/>
      <c r="M1020" s="191"/>
      <c r="N1020" s="65"/>
    </row>
    <row r="1021" spans="1:14" x14ac:dyDescent="0.25">
      <c r="A1021" s="63" t="s">
        <v>8</v>
      </c>
      <c r="B1021" s="71" t="s">
        <v>2899</v>
      </c>
      <c r="C1021" s="2">
        <v>4058075850842</v>
      </c>
      <c r="D1021" s="95">
        <v>4058075541320</v>
      </c>
      <c r="E1021" s="96" t="s">
        <v>2885</v>
      </c>
      <c r="F1021" s="16"/>
      <c r="G1021" s="158"/>
      <c r="H1021" s="14"/>
      <c r="I1021" s="158"/>
      <c r="J1021" s="46"/>
      <c r="K1021" s="158"/>
      <c r="L1021" s="14"/>
      <c r="M1021" s="188" t="s">
        <v>2042</v>
      </c>
      <c r="N1021" s="169" t="s">
        <v>11</v>
      </c>
    </row>
    <row r="1022" spans="1:14" x14ac:dyDescent="0.25">
      <c r="A1022" s="63" t="s">
        <v>8</v>
      </c>
      <c r="B1022" s="71" t="s">
        <v>2900</v>
      </c>
      <c r="C1022" s="2">
        <v>4058075850866</v>
      </c>
      <c r="D1022" s="95">
        <v>4058075541344</v>
      </c>
      <c r="E1022" s="96" t="s">
        <v>2886</v>
      </c>
      <c r="F1022" s="16"/>
      <c r="G1022" s="158"/>
      <c r="H1022" s="14"/>
      <c r="I1022" s="158"/>
      <c r="J1022" s="46"/>
      <c r="K1022" s="158"/>
      <c r="L1022" s="14"/>
      <c r="M1022" s="188" t="s">
        <v>2042</v>
      </c>
      <c r="N1022" s="169" t="s">
        <v>11</v>
      </c>
    </row>
    <row r="1023" spans="1:14" x14ac:dyDescent="0.25">
      <c r="A1023" s="63" t="s">
        <v>8</v>
      </c>
      <c r="B1023" s="71" t="s">
        <v>2901</v>
      </c>
      <c r="C1023" s="2">
        <v>4058075850880</v>
      </c>
      <c r="D1023" s="95">
        <v>4058075541368</v>
      </c>
      <c r="E1023" s="96" t="s">
        <v>2887</v>
      </c>
      <c r="F1023" s="16"/>
      <c r="G1023" s="158"/>
      <c r="H1023" s="14"/>
      <c r="I1023" s="158"/>
      <c r="J1023" s="46"/>
      <c r="K1023" s="158"/>
      <c r="L1023" s="14"/>
      <c r="M1023" s="188" t="s">
        <v>2042</v>
      </c>
      <c r="N1023" s="169" t="s">
        <v>11</v>
      </c>
    </row>
    <row r="1024" spans="1:14" x14ac:dyDescent="0.25">
      <c r="A1024" s="63" t="s">
        <v>8</v>
      </c>
      <c r="B1024" s="71" t="s">
        <v>2902</v>
      </c>
      <c r="C1024" s="2">
        <v>4058075850903</v>
      </c>
      <c r="D1024" s="95">
        <v>4058075541382</v>
      </c>
      <c r="E1024" s="96" t="s">
        <v>2888</v>
      </c>
      <c r="F1024" s="16"/>
      <c r="G1024" s="158"/>
      <c r="H1024" s="14"/>
      <c r="I1024" s="158"/>
      <c r="J1024" s="46"/>
      <c r="K1024" s="158"/>
      <c r="L1024" s="14"/>
      <c r="M1024" s="188" t="s">
        <v>2042</v>
      </c>
      <c r="N1024" s="169" t="s">
        <v>11</v>
      </c>
    </row>
    <row r="1025" spans="1:14" x14ac:dyDescent="0.25">
      <c r="A1025" s="63" t="s">
        <v>8</v>
      </c>
      <c r="B1025" s="71" t="s">
        <v>2903</v>
      </c>
      <c r="C1025" s="2">
        <v>4058075850927</v>
      </c>
      <c r="D1025" s="95">
        <v>4058075541405</v>
      </c>
      <c r="E1025" s="96" t="s">
        <v>2889</v>
      </c>
      <c r="F1025" s="16"/>
      <c r="G1025" s="158"/>
      <c r="H1025" s="14"/>
      <c r="I1025" s="158"/>
      <c r="J1025" s="46"/>
      <c r="K1025" s="158"/>
      <c r="L1025" s="14"/>
      <c r="M1025" s="188" t="s">
        <v>2042</v>
      </c>
      <c r="N1025" s="169" t="s">
        <v>11</v>
      </c>
    </row>
    <row r="1026" spans="1:14" x14ac:dyDescent="0.25">
      <c r="A1026" s="63" t="s">
        <v>8</v>
      </c>
      <c r="B1026" s="71" t="s">
        <v>2904</v>
      </c>
      <c r="C1026" s="2">
        <v>4058075850941</v>
      </c>
      <c r="D1026" s="95">
        <v>4058075541429</v>
      </c>
      <c r="E1026" s="96" t="s">
        <v>2890</v>
      </c>
      <c r="F1026" s="16"/>
      <c r="G1026" s="158"/>
      <c r="H1026" s="14"/>
      <c r="I1026" s="158"/>
      <c r="J1026" s="46"/>
      <c r="K1026" s="158"/>
      <c r="L1026" s="14"/>
      <c r="M1026" s="188" t="s">
        <v>2042</v>
      </c>
      <c r="N1026" s="169" t="s">
        <v>11</v>
      </c>
    </row>
    <row r="1027" spans="1:14" x14ac:dyDescent="0.25">
      <c r="A1027" s="63" t="s">
        <v>8</v>
      </c>
      <c r="B1027" s="71" t="s">
        <v>2905</v>
      </c>
      <c r="C1027" s="2">
        <v>4058075850965</v>
      </c>
      <c r="D1027" s="95">
        <v>4058075541443</v>
      </c>
      <c r="E1027" s="96" t="s">
        <v>2891</v>
      </c>
      <c r="F1027" s="16"/>
      <c r="G1027" s="158"/>
      <c r="H1027" s="14"/>
      <c r="I1027" s="158"/>
      <c r="J1027" s="46"/>
      <c r="K1027" s="158"/>
      <c r="L1027" s="14"/>
      <c r="M1027" s="188" t="s">
        <v>2042</v>
      </c>
      <c r="N1027" s="169" t="s">
        <v>11</v>
      </c>
    </row>
    <row r="1028" spans="1:14" x14ac:dyDescent="0.25">
      <c r="A1028" s="63" t="s">
        <v>8</v>
      </c>
      <c r="B1028" s="71" t="s">
        <v>2906</v>
      </c>
      <c r="C1028" s="2">
        <v>4058075850989</v>
      </c>
      <c r="D1028" s="95">
        <v>4058075541467</v>
      </c>
      <c r="E1028" s="96" t="s">
        <v>2892</v>
      </c>
      <c r="F1028" s="16"/>
      <c r="G1028" s="158"/>
      <c r="H1028" s="14"/>
      <c r="I1028" s="158"/>
      <c r="J1028" s="46"/>
      <c r="K1028" s="158"/>
      <c r="L1028" s="14"/>
      <c r="M1028" s="188" t="s">
        <v>2042</v>
      </c>
      <c r="N1028" s="169" t="s">
        <v>11</v>
      </c>
    </row>
    <row r="1029" spans="1:14" x14ac:dyDescent="0.25">
      <c r="A1029" s="63" t="s">
        <v>8</v>
      </c>
      <c r="B1029" s="71" t="s">
        <v>2907</v>
      </c>
      <c r="C1029" s="2">
        <v>4058075851009</v>
      </c>
      <c r="D1029" s="95">
        <v>4058075541481</v>
      </c>
      <c r="E1029" s="96" t="s">
        <v>2893</v>
      </c>
      <c r="F1029" s="16"/>
      <c r="G1029" s="158"/>
      <c r="H1029" s="14"/>
      <c r="I1029" s="158"/>
      <c r="J1029" s="46"/>
      <c r="K1029" s="158"/>
      <c r="L1029" s="14"/>
      <c r="M1029" s="188" t="s">
        <v>2042</v>
      </c>
      <c r="N1029" s="169" t="s">
        <v>11</v>
      </c>
    </row>
    <row r="1030" spans="1:14" x14ac:dyDescent="0.25">
      <c r="A1030" s="63" t="s">
        <v>8</v>
      </c>
      <c r="B1030" s="71" t="s">
        <v>2908</v>
      </c>
      <c r="C1030" s="2">
        <v>4058075851023</v>
      </c>
      <c r="D1030" s="95">
        <v>4058075541504</v>
      </c>
      <c r="E1030" s="96" t="s">
        <v>2894</v>
      </c>
      <c r="F1030" s="16"/>
      <c r="G1030" s="158"/>
      <c r="H1030" s="14"/>
      <c r="I1030" s="158"/>
      <c r="J1030" s="46"/>
      <c r="K1030" s="158"/>
      <c r="L1030" s="14"/>
      <c r="M1030" s="188" t="s">
        <v>2042</v>
      </c>
      <c r="N1030" s="169" t="s">
        <v>11</v>
      </c>
    </row>
    <row r="1031" spans="1:14" x14ac:dyDescent="0.25">
      <c r="A1031" s="63" t="s">
        <v>8</v>
      </c>
      <c r="B1031" s="71" t="s">
        <v>2909</v>
      </c>
      <c r="C1031" s="2">
        <v>4058075851047</v>
      </c>
      <c r="D1031" s="95">
        <v>4058075541528</v>
      </c>
      <c r="E1031" s="96" t="s">
        <v>2895</v>
      </c>
      <c r="F1031" s="16"/>
      <c r="G1031" s="158"/>
      <c r="H1031" s="14"/>
      <c r="I1031" s="158"/>
      <c r="J1031" s="46"/>
      <c r="K1031" s="158"/>
      <c r="L1031" s="14"/>
      <c r="M1031" s="188" t="s">
        <v>2042</v>
      </c>
      <c r="N1031" s="169" t="s">
        <v>11</v>
      </c>
    </row>
    <row r="1032" spans="1:14" x14ac:dyDescent="0.25">
      <c r="A1032" s="63" t="s">
        <v>8</v>
      </c>
      <c r="B1032" s="71" t="s">
        <v>2910</v>
      </c>
      <c r="C1032" s="2">
        <v>4058075851061</v>
      </c>
      <c r="D1032" s="95">
        <v>4058075541542</v>
      </c>
      <c r="E1032" s="96" t="s">
        <v>2896</v>
      </c>
      <c r="F1032" s="16"/>
      <c r="G1032" s="158"/>
      <c r="H1032" s="14"/>
      <c r="I1032" s="158"/>
      <c r="J1032" s="46"/>
      <c r="K1032" s="158"/>
      <c r="L1032" s="14"/>
      <c r="M1032" s="188" t="s">
        <v>2042</v>
      </c>
      <c r="N1032" s="169" t="s">
        <v>11</v>
      </c>
    </row>
    <row r="1033" spans="1:14" x14ac:dyDescent="0.25">
      <c r="A1033" s="63" t="s">
        <v>8</v>
      </c>
      <c r="B1033" s="71" t="s">
        <v>2911</v>
      </c>
      <c r="C1033" s="2">
        <v>4058075851085</v>
      </c>
      <c r="D1033" s="95">
        <v>4058075541566</v>
      </c>
      <c r="E1033" s="96" t="s">
        <v>2897</v>
      </c>
      <c r="F1033" s="16"/>
      <c r="G1033" s="158"/>
      <c r="H1033" s="14"/>
      <c r="I1033" s="158"/>
      <c r="J1033" s="46"/>
      <c r="K1033" s="158"/>
      <c r="L1033" s="14"/>
      <c r="M1033" s="188" t="s">
        <v>2042</v>
      </c>
      <c r="N1033" s="169" t="s">
        <v>11</v>
      </c>
    </row>
    <row r="1034" spans="1:14" x14ac:dyDescent="0.25">
      <c r="A1034" s="63" t="s">
        <v>8</v>
      </c>
      <c r="B1034" s="71" t="s">
        <v>2912</v>
      </c>
      <c r="C1034" s="2">
        <v>4058075851108</v>
      </c>
      <c r="D1034" s="95">
        <v>4058075541580</v>
      </c>
      <c r="E1034" s="96" t="s">
        <v>2898</v>
      </c>
      <c r="F1034" s="16"/>
      <c r="G1034" s="158"/>
      <c r="H1034" s="14"/>
      <c r="I1034" s="158"/>
      <c r="J1034" s="46"/>
      <c r="K1034" s="158"/>
      <c r="L1034" s="14"/>
      <c r="M1034" s="188" t="s">
        <v>2042</v>
      </c>
      <c r="N1034" s="169" t="s">
        <v>11</v>
      </c>
    </row>
    <row r="1035" spans="1:14" x14ac:dyDescent="0.25">
      <c r="A1035" s="66" t="s">
        <v>8</v>
      </c>
      <c r="B1035" s="69" t="s">
        <v>251</v>
      </c>
      <c r="C1035" s="51"/>
      <c r="D1035" s="65"/>
      <c r="E1035" s="86"/>
      <c r="F1035" s="12"/>
      <c r="G1035" s="157"/>
      <c r="H1035" s="12"/>
      <c r="I1035" s="62"/>
      <c r="J1035" s="27"/>
      <c r="K1035" s="62"/>
      <c r="L1035" s="12"/>
      <c r="M1035" s="191"/>
      <c r="N1035" s="65"/>
    </row>
    <row r="1036" spans="1:14" x14ac:dyDescent="0.25">
      <c r="A1036" s="63" t="s">
        <v>8</v>
      </c>
      <c r="B1036" s="71" t="s">
        <v>2913</v>
      </c>
      <c r="C1036" s="2">
        <v>4058075541924</v>
      </c>
      <c r="D1036" s="84"/>
      <c r="E1036" s="85"/>
      <c r="F1036" s="16"/>
      <c r="G1036" s="156" t="str">
        <f>HYPERLINK("https://ledvance.com/pt/product-datasheet/141866/47403","Ficha Técnica")</f>
        <v>Ficha Técnica</v>
      </c>
      <c r="H1036" s="15">
        <v>6</v>
      </c>
      <c r="I1036" s="163">
        <v>4400</v>
      </c>
      <c r="J1036" s="15">
        <v>32</v>
      </c>
      <c r="K1036" s="163" t="s">
        <v>138</v>
      </c>
      <c r="L1036" s="15">
        <v>5</v>
      </c>
      <c r="M1036" s="188">
        <v>89.5</v>
      </c>
      <c r="N1036" s="169" t="s">
        <v>11</v>
      </c>
    </row>
    <row r="1037" spans="1:14" x14ac:dyDescent="0.25">
      <c r="A1037" s="63" t="s">
        <v>8</v>
      </c>
      <c r="B1037" s="71" t="s">
        <v>2914</v>
      </c>
      <c r="C1037" s="2">
        <v>4058075541948</v>
      </c>
      <c r="D1037" s="84"/>
      <c r="E1037" s="85"/>
      <c r="F1037" s="16"/>
      <c r="G1037" s="156" t="str">
        <f>HYPERLINK("https://ledvance.com/pt/product-datasheet/141866/123252","Ficha Técnica")</f>
        <v>Ficha Técnica</v>
      </c>
      <c r="H1037" s="15">
        <v>6</v>
      </c>
      <c r="I1037" s="163">
        <v>6400</v>
      </c>
      <c r="J1037" s="15">
        <v>46</v>
      </c>
      <c r="K1037" s="163" t="s">
        <v>138</v>
      </c>
      <c r="L1037" s="15">
        <v>5</v>
      </c>
      <c r="M1037" s="188">
        <v>93</v>
      </c>
      <c r="N1037" s="169" t="s">
        <v>11</v>
      </c>
    </row>
    <row r="1038" spans="1:14" x14ac:dyDescent="0.25">
      <c r="A1038" s="63" t="s">
        <v>8</v>
      </c>
      <c r="B1038" s="71" t="s">
        <v>2915</v>
      </c>
      <c r="C1038" s="4">
        <v>4099854312465</v>
      </c>
      <c r="D1038" s="93"/>
      <c r="E1038" s="94"/>
      <c r="G1038" s="156" t="str">
        <f>HYPERLINK("https://ledvance.com/pt/product-datasheet/141866/308867","Ficha Técnica")</f>
        <v>Ficha Técnica</v>
      </c>
      <c r="H1038" s="15">
        <v>6</v>
      </c>
      <c r="I1038" s="163">
        <v>8000</v>
      </c>
      <c r="J1038" s="15">
        <v>58</v>
      </c>
      <c r="K1038" s="163" t="s">
        <v>138</v>
      </c>
      <c r="L1038" s="15">
        <v>5</v>
      </c>
      <c r="M1038" s="188">
        <v>100.1</v>
      </c>
      <c r="N1038" s="169" t="s">
        <v>11</v>
      </c>
    </row>
    <row r="1039" spans="1:14" x14ac:dyDescent="0.25">
      <c r="A1039" s="63" t="s">
        <v>8</v>
      </c>
      <c r="B1039" s="71" t="s">
        <v>2916</v>
      </c>
      <c r="C1039" s="4">
        <v>4099854312489</v>
      </c>
      <c r="D1039" s="93"/>
      <c r="E1039" s="94"/>
      <c r="F1039" s="24"/>
      <c r="G1039" s="156" t="str">
        <f>HYPERLINK("https://ledvance.com/pt/product-datasheet/141866/308870","Ficha Técnica")</f>
        <v>Ficha Técnica</v>
      </c>
      <c r="H1039" s="15">
        <v>6</v>
      </c>
      <c r="I1039" s="163" t="s">
        <v>1763</v>
      </c>
      <c r="J1039" s="15" t="s">
        <v>1764</v>
      </c>
      <c r="K1039" s="163" t="s">
        <v>138</v>
      </c>
      <c r="L1039" s="15">
        <v>5</v>
      </c>
      <c r="M1039" s="188">
        <v>117.6</v>
      </c>
      <c r="N1039" s="169" t="s">
        <v>11</v>
      </c>
    </row>
    <row r="1040" spans="1:14" x14ac:dyDescent="0.25">
      <c r="A1040" s="66" t="s">
        <v>8</v>
      </c>
      <c r="B1040" s="69" t="s">
        <v>2171</v>
      </c>
      <c r="C1040" s="51"/>
      <c r="D1040" s="65"/>
      <c r="E1040" s="86"/>
      <c r="F1040" s="12"/>
      <c r="G1040" s="157"/>
      <c r="H1040" s="12"/>
      <c r="I1040" s="62"/>
      <c r="J1040" s="27"/>
      <c r="K1040" s="62"/>
      <c r="L1040" s="12"/>
      <c r="M1040" s="191"/>
      <c r="N1040" s="65"/>
    </row>
    <row r="1041" spans="1:14" x14ac:dyDescent="0.25">
      <c r="A1041" s="63" t="s">
        <v>8</v>
      </c>
      <c r="B1041" s="72" t="s">
        <v>2010</v>
      </c>
      <c r="C1041" s="59">
        <v>4099854117893</v>
      </c>
      <c r="D1041" s="95">
        <v>4058075312395</v>
      </c>
      <c r="E1041" s="102" t="s">
        <v>1982</v>
      </c>
      <c r="F1041" s="16"/>
      <c r="G1041" s="156" t="str">
        <f>HYPERLINK("https://ledvance.com/pt/product-datasheet/347325/255188","Ficha Técnica")</f>
        <v>Ficha Técnica</v>
      </c>
      <c r="H1041" s="15">
        <v>10</v>
      </c>
      <c r="I1041" s="163"/>
      <c r="J1041" s="15"/>
      <c r="K1041" s="163" t="s">
        <v>138</v>
      </c>
      <c r="L1041" s="15">
        <v>5</v>
      </c>
      <c r="M1041" s="188">
        <v>15.4</v>
      </c>
      <c r="N1041" s="169" t="s">
        <v>11</v>
      </c>
    </row>
    <row r="1042" spans="1:14" x14ac:dyDescent="0.25">
      <c r="A1042" s="63" t="s">
        <v>8</v>
      </c>
      <c r="B1042" s="72" t="s">
        <v>2011</v>
      </c>
      <c r="C1042" s="59">
        <v>4099854117930</v>
      </c>
      <c r="D1042" s="95">
        <v>4058075312418</v>
      </c>
      <c r="E1042" s="102" t="s">
        <v>1983</v>
      </c>
      <c r="F1042" s="16"/>
      <c r="G1042" s="156" t="str">
        <f>HYPERLINK("https://ledvance.com/pt/product-datasheet/347325/255191","Ficha Técnica")</f>
        <v>Ficha Técnica</v>
      </c>
      <c r="H1042" s="15">
        <v>6</v>
      </c>
      <c r="I1042" s="163"/>
      <c r="J1042" s="15"/>
      <c r="K1042" s="163" t="s">
        <v>138</v>
      </c>
      <c r="L1042" s="15">
        <v>5</v>
      </c>
      <c r="M1042" s="188">
        <v>20.3</v>
      </c>
      <c r="N1042" s="169" t="s">
        <v>11</v>
      </c>
    </row>
    <row r="1043" spans="1:14" x14ac:dyDescent="0.25">
      <c r="A1043" s="63" t="s">
        <v>8</v>
      </c>
      <c r="B1043" s="72" t="s">
        <v>2012</v>
      </c>
      <c r="C1043" s="59">
        <v>4099854117954</v>
      </c>
      <c r="D1043" s="95">
        <v>4058075312432</v>
      </c>
      <c r="E1043" s="102" t="s">
        <v>1984</v>
      </c>
      <c r="F1043" s="16"/>
      <c r="G1043" s="156" t="str">
        <f>HYPERLINK("https://ledvance.com/pt/product-datasheet/347325/255195","Ficha Técnica")</f>
        <v>Ficha Técnica</v>
      </c>
      <c r="H1043" s="15">
        <v>9</v>
      </c>
      <c r="I1043" s="163"/>
      <c r="J1043" s="15"/>
      <c r="K1043" s="163" t="s">
        <v>138</v>
      </c>
      <c r="L1043" s="15">
        <v>5</v>
      </c>
      <c r="M1043" s="188">
        <v>21.8</v>
      </c>
      <c r="N1043" s="169" t="s">
        <v>11</v>
      </c>
    </row>
    <row r="1044" spans="1:14" x14ac:dyDescent="0.25">
      <c r="A1044" s="63" t="s">
        <v>8</v>
      </c>
      <c r="B1044" s="72" t="s">
        <v>2013</v>
      </c>
      <c r="C1044" s="59">
        <v>4099854117992</v>
      </c>
      <c r="D1044" s="95">
        <v>4058075312456</v>
      </c>
      <c r="E1044" s="102" t="s">
        <v>1985</v>
      </c>
      <c r="F1044" s="16"/>
      <c r="G1044" s="156" t="str">
        <f>HYPERLINK("https://ledvance.com/pt/product-datasheet/347325/255200","Ficha Técnica")</f>
        <v>Ficha Técnica</v>
      </c>
      <c r="H1044" s="15">
        <v>6</v>
      </c>
      <c r="I1044" s="163"/>
      <c r="J1044" s="15"/>
      <c r="K1044" s="163" t="s">
        <v>138</v>
      </c>
      <c r="L1044" s="15">
        <v>5</v>
      </c>
      <c r="M1044" s="188">
        <v>26.2</v>
      </c>
      <c r="N1044" s="169" t="s">
        <v>11</v>
      </c>
    </row>
    <row r="1045" spans="1:14" x14ac:dyDescent="0.25">
      <c r="A1045" s="63" t="s">
        <v>8</v>
      </c>
      <c r="B1045" s="72" t="s">
        <v>2014</v>
      </c>
      <c r="C1045" s="59">
        <v>4099854118012</v>
      </c>
      <c r="D1045" s="95">
        <v>4058075312470</v>
      </c>
      <c r="E1045" s="102" t="s">
        <v>1986</v>
      </c>
      <c r="F1045" s="16"/>
      <c r="G1045" s="156" t="str">
        <f>HYPERLINK("https://ledvance.com/pt/product-datasheet/347325/255203","Ficha Técnica")</f>
        <v>Ficha Técnica</v>
      </c>
      <c r="H1045" s="15">
        <v>9</v>
      </c>
      <c r="I1045" s="163"/>
      <c r="J1045" s="15"/>
      <c r="K1045" s="163" t="s">
        <v>138</v>
      </c>
      <c r="L1045" s="15">
        <v>5</v>
      </c>
      <c r="M1045" s="188">
        <v>27.6</v>
      </c>
      <c r="N1045" s="169" t="s">
        <v>11</v>
      </c>
    </row>
    <row r="1046" spans="1:14" x14ac:dyDescent="0.25">
      <c r="A1046" s="63" t="s">
        <v>8</v>
      </c>
      <c r="B1046" s="72" t="s">
        <v>2015</v>
      </c>
      <c r="C1046" s="59">
        <v>4099854118036</v>
      </c>
      <c r="D1046" s="95">
        <v>4058075312494</v>
      </c>
      <c r="E1046" s="102" t="s">
        <v>1987</v>
      </c>
      <c r="F1046" s="16"/>
      <c r="G1046" s="156" t="str">
        <f>HYPERLINK("https://ledvance.com/pt/product-datasheet/347325/255206","Ficha Técnica")</f>
        <v>Ficha Técnica</v>
      </c>
      <c r="H1046" s="15">
        <v>6</v>
      </c>
      <c r="I1046" s="163"/>
      <c r="J1046" s="15"/>
      <c r="K1046" s="163" t="s">
        <v>138</v>
      </c>
      <c r="L1046" s="15">
        <v>5</v>
      </c>
      <c r="M1046" s="188">
        <v>33.700000000000003</v>
      </c>
      <c r="N1046" s="169" t="s">
        <v>11</v>
      </c>
    </row>
    <row r="1047" spans="1:14" x14ac:dyDescent="0.25">
      <c r="A1047" s="66" t="s">
        <v>8</v>
      </c>
      <c r="B1047" s="69" t="s">
        <v>2172</v>
      </c>
      <c r="C1047" s="51"/>
      <c r="D1047" s="65"/>
      <c r="E1047" s="86"/>
      <c r="F1047" s="12"/>
      <c r="G1047" s="157"/>
      <c r="H1047" s="12"/>
      <c r="I1047" s="62"/>
      <c r="J1047" s="27"/>
      <c r="K1047" s="62"/>
      <c r="L1047" s="12"/>
      <c r="M1047" s="191"/>
      <c r="N1047" s="65"/>
    </row>
    <row r="1048" spans="1:14" x14ac:dyDescent="0.25">
      <c r="A1048" s="63" t="s">
        <v>8</v>
      </c>
      <c r="B1048" s="72" t="s">
        <v>259</v>
      </c>
      <c r="C1048" s="59">
        <v>4099854146442</v>
      </c>
      <c r="D1048" s="90"/>
      <c r="E1048" s="91"/>
      <c r="F1048" s="16"/>
      <c r="G1048" s="156" t="str">
        <f>HYPERLINK("https://ledvance.com/pt/product-datasheet/271439/261260","Ficha Técnica")</f>
        <v>Ficha Técnica</v>
      </c>
      <c r="H1048" s="15">
        <v>9</v>
      </c>
      <c r="I1048" s="163"/>
      <c r="J1048" s="15"/>
      <c r="K1048" s="163" t="s">
        <v>138</v>
      </c>
      <c r="L1048" s="15">
        <v>5</v>
      </c>
      <c r="M1048" s="188">
        <v>99.6</v>
      </c>
      <c r="N1048" s="169" t="s">
        <v>11</v>
      </c>
    </row>
    <row r="1049" spans="1:14" x14ac:dyDescent="0.25">
      <c r="A1049" s="63" t="s">
        <v>8</v>
      </c>
      <c r="B1049" s="72" t="s">
        <v>260</v>
      </c>
      <c r="C1049" s="59">
        <v>4099854146466</v>
      </c>
      <c r="D1049" s="90"/>
      <c r="E1049" s="91"/>
      <c r="F1049" s="16"/>
      <c r="G1049" s="156" t="str">
        <f>HYPERLINK("https://ledvance.com/pt/product-datasheet/271439/261263","Ficha Técnica")</f>
        <v>Ficha Técnica</v>
      </c>
      <c r="H1049" s="15">
        <v>6</v>
      </c>
      <c r="I1049" s="163"/>
      <c r="J1049" s="15"/>
      <c r="K1049" s="163" t="s">
        <v>138</v>
      </c>
      <c r="L1049" s="15">
        <v>5</v>
      </c>
      <c r="M1049" s="188">
        <v>106</v>
      </c>
      <c r="N1049" s="169" t="s">
        <v>11</v>
      </c>
    </row>
    <row r="1050" spans="1:14" x14ac:dyDescent="0.25">
      <c r="A1050" s="63" t="s">
        <v>8</v>
      </c>
      <c r="B1050" s="72" t="s">
        <v>261</v>
      </c>
      <c r="C1050" s="59">
        <v>4099854146480</v>
      </c>
      <c r="D1050" s="90"/>
      <c r="E1050" s="91"/>
      <c r="F1050" s="16"/>
      <c r="G1050" s="156" t="str">
        <f>HYPERLINK("https://ledvance.com/pt/product-datasheet/271439/261266","Ficha Técnica")</f>
        <v>Ficha Técnica</v>
      </c>
      <c r="H1050" s="15">
        <v>6</v>
      </c>
      <c r="I1050" s="163"/>
      <c r="J1050" s="15"/>
      <c r="K1050" s="163" t="s">
        <v>138</v>
      </c>
      <c r="L1050" s="15">
        <v>5</v>
      </c>
      <c r="M1050" s="188">
        <v>104.4</v>
      </c>
      <c r="N1050" s="169" t="s">
        <v>11</v>
      </c>
    </row>
    <row r="1051" spans="1:14" x14ac:dyDescent="0.25">
      <c r="A1051" s="63" t="s">
        <v>8</v>
      </c>
      <c r="B1051" s="72" t="s">
        <v>262</v>
      </c>
      <c r="C1051" s="59">
        <v>4099854146503</v>
      </c>
      <c r="D1051" s="90"/>
      <c r="E1051" s="91"/>
      <c r="F1051" s="16"/>
      <c r="G1051" s="156" t="str">
        <f>HYPERLINK("https://ledvance.com/pt/product-datasheet/271439/261269","Ficha Técnica")</f>
        <v>Ficha Técnica</v>
      </c>
      <c r="H1051" s="15">
        <v>6</v>
      </c>
      <c r="I1051" s="163"/>
      <c r="J1051" s="15"/>
      <c r="K1051" s="163" t="s">
        <v>138</v>
      </c>
      <c r="L1051" s="15">
        <v>5</v>
      </c>
      <c r="M1051" s="188">
        <v>114</v>
      </c>
      <c r="N1051" s="169" t="s">
        <v>11</v>
      </c>
    </row>
    <row r="1052" spans="1:14" x14ac:dyDescent="0.25">
      <c r="A1052" s="66" t="s">
        <v>8</v>
      </c>
      <c r="B1052" s="69" t="s">
        <v>2173</v>
      </c>
      <c r="C1052" s="51"/>
      <c r="D1052" s="65"/>
      <c r="E1052" s="86"/>
      <c r="F1052" s="12"/>
      <c r="G1052" s="157"/>
      <c r="H1052" s="12"/>
      <c r="I1052" s="62"/>
      <c r="J1052" s="27"/>
      <c r="K1052" s="62"/>
      <c r="L1052" s="12"/>
      <c r="M1052" s="191"/>
      <c r="N1052" s="65"/>
    </row>
    <row r="1053" spans="1:14" x14ac:dyDescent="0.25">
      <c r="A1053" s="63" t="s">
        <v>8</v>
      </c>
      <c r="B1053" s="72" t="s">
        <v>263</v>
      </c>
      <c r="C1053" s="59">
        <v>4099854148880</v>
      </c>
      <c r="D1053" s="90"/>
      <c r="E1053" s="91"/>
      <c r="F1053" s="16"/>
      <c r="G1053" s="156" t="str">
        <f>HYPERLINK("https://ledvance.com/pt/product-datasheet/271440/261894","Ficha Técnica")</f>
        <v>Ficha Técnica</v>
      </c>
      <c r="H1053" s="15">
        <v>6</v>
      </c>
      <c r="I1053" s="163"/>
      <c r="J1053" s="15"/>
      <c r="K1053" s="163" t="s">
        <v>138</v>
      </c>
      <c r="L1053" s="15">
        <v>3</v>
      </c>
      <c r="M1053" s="188">
        <v>200.7</v>
      </c>
      <c r="N1053" s="169" t="s">
        <v>11</v>
      </c>
    </row>
    <row r="1054" spans="1:14" x14ac:dyDescent="0.25">
      <c r="A1054" s="63" t="s">
        <v>8</v>
      </c>
      <c r="B1054" s="72" t="s">
        <v>264</v>
      </c>
      <c r="C1054" s="59">
        <v>4099854148903</v>
      </c>
      <c r="D1054" s="90"/>
      <c r="E1054" s="91"/>
      <c r="F1054" s="16"/>
      <c r="G1054" s="156" t="str">
        <f>HYPERLINK("https://ledvance.com/pt/product-datasheet/271440/261897","Ficha Técnica")</f>
        <v>Ficha Técnica</v>
      </c>
      <c r="H1054" s="15">
        <v>6</v>
      </c>
      <c r="I1054" s="163"/>
      <c r="J1054" s="15"/>
      <c r="K1054" s="163" t="s">
        <v>138</v>
      </c>
      <c r="L1054" s="15">
        <v>3</v>
      </c>
      <c r="M1054" s="188">
        <v>207.5</v>
      </c>
      <c r="N1054" s="169" t="s">
        <v>11</v>
      </c>
    </row>
    <row r="1055" spans="1:14" x14ac:dyDescent="0.25">
      <c r="A1055" s="63" t="s">
        <v>8</v>
      </c>
      <c r="B1055" s="72" t="s">
        <v>265</v>
      </c>
      <c r="C1055" s="59">
        <v>4099854148927</v>
      </c>
      <c r="D1055" s="90"/>
      <c r="E1055" s="91"/>
      <c r="F1055" s="16"/>
      <c r="G1055" s="156" t="str">
        <f>HYPERLINK("https://ledvance.com/pt/product-datasheet/271440/261900","Ficha Técnica")</f>
        <v>Ficha Técnica</v>
      </c>
      <c r="H1055" s="15">
        <v>6</v>
      </c>
      <c r="I1055" s="163"/>
      <c r="J1055" s="15"/>
      <c r="K1055" s="163" t="s">
        <v>138</v>
      </c>
      <c r="L1055" s="15">
        <v>3</v>
      </c>
      <c r="M1055" s="188">
        <v>205.8</v>
      </c>
      <c r="N1055" s="169" t="s">
        <v>11</v>
      </c>
    </row>
    <row r="1056" spans="1:14" x14ac:dyDescent="0.25">
      <c r="A1056" s="63" t="s">
        <v>8</v>
      </c>
      <c r="B1056" s="72" t="s">
        <v>266</v>
      </c>
      <c r="C1056" s="59">
        <v>4099854148941</v>
      </c>
      <c r="D1056" s="90"/>
      <c r="E1056" s="91"/>
      <c r="F1056" s="16"/>
      <c r="G1056" s="156" t="str">
        <f>HYPERLINK("https://ledvance.com/pt/product-datasheet/271440/261903","Ficha Técnica")</f>
        <v>Ficha Técnica</v>
      </c>
      <c r="H1056" s="15">
        <v>4</v>
      </c>
      <c r="I1056" s="163"/>
      <c r="J1056" s="15"/>
      <c r="K1056" s="163" t="s">
        <v>138</v>
      </c>
      <c r="L1056" s="15">
        <v>3</v>
      </c>
      <c r="M1056" s="188">
        <v>216</v>
      </c>
      <c r="N1056" s="169" t="s">
        <v>11</v>
      </c>
    </row>
    <row r="1057" spans="1:14" x14ac:dyDescent="0.25">
      <c r="A1057" s="66" t="s">
        <v>8</v>
      </c>
      <c r="B1057" s="69" t="s">
        <v>2097</v>
      </c>
      <c r="C1057" s="51"/>
      <c r="D1057" s="65"/>
      <c r="E1057" s="86"/>
      <c r="F1057" s="12"/>
      <c r="G1057" s="157"/>
      <c r="H1057" s="12"/>
      <c r="I1057" s="62"/>
      <c r="J1057" s="27"/>
      <c r="K1057" s="62"/>
      <c r="L1057" s="12"/>
      <c r="M1057" s="191"/>
      <c r="N1057" s="65"/>
    </row>
    <row r="1058" spans="1:14" x14ac:dyDescent="0.25">
      <c r="A1058" s="63" t="s">
        <v>8</v>
      </c>
      <c r="B1058" s="72" t="s">
        <v>2075</v>
      </c>
      <c r="C1058" s="59">
        <v>4058075695078</v>
      </c>
      <c r="D1058" s="90"/>
      <c r="E1058" s="61"/>
      <c r="F1058" s="16"/>
      <c r="G1058" s="156" t="str">
        <f>HYPERLINK("https://ledvance.com/pt/product-datasheet/189057/181695","Ficha Técnica")</f>
        <v>Ficha Técnica</v>
      </c>
      <c r="H1058" s="15" t="s">
        <v>2103</v>
      </c>
      <c r="I1058" s="163"/>
      <c r="J1058" s="15"/>
      <c r="K1058" s="163"/>
      <c r="L1058" s="15">
        <v>5</v>
      </c>
      <c r="M1058" s="188">
        <v>20.2</v>
      </c>
      <c r="N1058" s="169" t="s">
        <v>11</v>
      </c>
    </row>
    <row r="1059" spans="1:14" x14ac:dyDescent="0.25">
      <c r="A1059" s="63" t="s">
        <v>8</v>
      </c>
      <c r="B1059" s="72" t="s">
        <v>2076</v>
      </c>
      <c r="C1059" s="59">
        <v>4058075695115</v>
      </c>
      <c r="D1059" s="90"/>
      <c r="E1059" s="61"/>
      <c r="F1059" s="16"/>
      <c r="G1059" s="156" t="str">
        <f>HYPERLINK("https://ledvance.com/pt/product-datasheet/189057/181705","Ficha Técnica")</f>
        <v>Ficha Técnica</v>
      </c>
      <c r="H1059" s="15" t="s">
        <v>2103</v>
      </c>
      <c r="I1059" s="163"/>
      <c r="J1059" s="15"/>
      <c r="K1059" s="163"/>
      <c r="L1059" s="15">
        <v>5</v>
      </c>
      <c r="M1059" s="188">
        <v>14.5</v>
      </c>
      <c r="N1059" s="169" t="s">
        <v>11</v>
      </c>
    </row>
    <row r="1060" spans="1:14" x14ac:dyDescent="0.25">
      <c r="A1060" s="63" t="s">
        <v>8</v>
      </c>
      <c r="B1060" s="72" t="s">
        <v>2077</v>
      </c>
      <c r="C1060" s="59">
        <v>4058075695092</v>
      </c>
      <c r="D1060" s="90"/>
      <c r="E1060" s="61"/>
      <c r="F1060" s="16"/>
      <c r="G1060" s="156" t="str">
        <f>HYPERLINK("https://ledvance.com/pt/product-datasheet/189057/181701","Ficha Técnica")</f>
        <v>Ficha Técnica</v>
      </c>
      <c r="H1060" s="15" t="s">
        <v>2103</v>
      </c>
      <c r="I1060" s="163"/>
      <c r="J1060" s="15"/>
      <c r="K1060" s="163"/>
      <c r="L1060" s="15">
        <v>5</v>
      </c>
      <c r="M1060" s="188">
        <v>22.7</v>
      </c>
      <c r="N1060" s="169" t="s">
        <v>11</v>
      </c>
    </row>
    <row r="1061" spans="1:14" x14ac:dyDescent="0.25">
      <c r="A1061" s="63" t="s">
        <v>8</v>
      </c>
      <c r="B1061" s="72" t="s">
        <v>2078</v>
      </c>
      <c r="C1061" s="59">
        <v>4058075695139</v>
      </c>
      <c r="D1061" s="90"/>
      <c r="E1061" s="61"/>
      <c r="F1061" s="16"/>
      <c r="G1061" s="156" t="str">
        <f>HYPERLINK("https://ledvance.com/pt/product-datasheet/189057/181709","Ficha Técnica")</f>
        <v>Ficha Técnica</v>
      </c>
      <c r="H1061" s="15" t="s">
        <v>2103</v>
      </c>
      <c r="I1061" s="163"/>
      <c r="J1061" s="15"/>
      <c r="K1061" s="163"/>
      <c r="L1061" s="15">
        <v>5</v>
      </c>
      <c r="M1061" s="188">
        <v>16.899999999999999</v>
      </c>
      <c r="N1061" s="169" t="s">
        <v>11</v>
      </c>
    </row>
    <row r="1062" spans="1:14" x14ac:dyDescent="0.25">
      <c r="A1062" s="66" t="s">
        <v>40</v>
      </c>
      <c r="B1062" s="69" t="s">
        <v>2111</v>
      </c>
      <c r="C1062" s="51"/>
      <c r="D1062" s="65"/>
      <c r="E1062" s="86"/>
      <c r="F1062" s="12"/>
      <c r="G1062" s="157"/>
      <c r="H1062" s="12"/>
      <c r="I1062" s="62"/>
      <c r="J1062" s="27"/>
      <c r="K1062" s="62"/>
      <c r="L1062" s="12"/>
      <c r="M1062" s="191"/>
      <c r="N1062" s="65"/>
    </row>
    <row r="1063" spans="1:14" x14ac:dyDescent="0.25">
      <c r="A1063" s="63" t="s">
        <v>40</v>
      </c>
      <c r="B1063" s="72" t="s">
        <v>2079</v>
      </c>
      <c r="C1063" s="59">
        <v>4058075695030</v>
      </c>
      <c r="D1063" s="90"/>
      <c r="E1063" s="61"/>
      <c r="F1063" s="16"/>
      <c r="G1063" s="156" t="str">
        <f>HYPERLINK("https://ledvance.com/pt/product-datasheet/189055/181684","Ficha Técnica")</f>
        <v>Ficha Técnica</v>
      </c>
      <c r="H1063" s="15" t="s">
        <v>2103</v>
      </c>
      <c r="I1063" s="163"/>
      <c r="J1063" s="15"/>
      <c r="K1063" s="163"/>
      <c r="L1063" s="15">
        <v>5</v>
      </c>
      <c r="M1063" s="188">
        <v>15.4</v>
      </c>
      <c r="N1063" s="169" t="s">
        <v>11</v>
      </c>
    </row>
    <row r="1064" spans="1:14" x14ac:dyDescent="0.25">
      <c r="A1064" s="63" t="s">
        <v>40</v>
      </c>
      <c r="B1064" s="72" t="s">
        <v>2080</v>
      </c>
      <c r="C1064" s="59">
        <v>4058075695054</v>
      </c>
      <c r="D1064" s="90"/>
      <c r="E1064" s="61"/>
      <c r="F1064" s="16"/>
      <c r="G1064" s="156" t="str">
        <f>HYPERLINK("https://ledvance.com/pt/product-datasheet/189055/181690","Ficha Técnica")</f>
        <v>Ficha Técnica</v>
      </c>
      <c r="H1064" s="15" t="s">
        <v>2103</v>
      </c>
      <c r="I1064" s="163"/>
      <c r="J1064" s="15"/>
      <c r="K1064" s="163"/>
      <c r="L1064" s="15">
        <v>5</v>
      </c>
      <c r="M1064" s="188">
        <v>16.899999999999999</v>
      </c>
      <c r="N1064" s="169" t="s">
        <v>11</v>
      </c>
    </row>
    <row r="1065" spans="1:14" x14ac:dyDescent="0.25">
      <c r="A1065" s="66" t="s">
        <v>8</v>
      </c>
      <c r="B1065" s="69" t="s">
        <v>252</v>
      </c>
      <c r="C1065" s="51"/>
      <c r="D1065" s="65"/>
      <c r="E1065" s="86"/>
      <c r="F1065" s="12"/>
      <c r="G1065" s="157"/>
      <c r="H1065" s="12"/>
      <c r="I1065" s="62"/>
      <c r="J1065" s="27"/>
      <c r="K1065" s="62"/>
      <c r="L1065" s="12"/>
      <c r="M1065" s="191"/>
      <c r="N1065" s="65"/>
    </row>
    <row r="1066" spans="1:14" x14ac:dyDescent="0.25">
      <c r="A1066" s="63" t="s">
        <v>8</v>
      </c>
      <c r="B1066" s="71" t="s">
        <v>2917</v>
      </c>
      <c r="C1066" s="2">
        <v>4058075300705</v>
      </c>
      <c r="D1066" s="84"/>
      <c r="E1066" s="85"/>
      <c r="F1066" s="16"/>
      <c r="G1066" s="156" t="str">
        <f>HYPERLINK("https://ledvance.com/pt/product-datasheet/8838/130248","Ficha Técnica")</f>
        <v>Ficha Técnica</v>
      </c>
      <c r="H1066" s="15">
        <v>6</v>
      </c>
      <c r="I1066" s="163">
        <v>1080</v>
      </c>
      <c r="J1066" s="15">
        <v>9</v>
      </c>
      <c r="K1066" s="163" t="s">
        <v>138</v>
      </c>
      <c r="L1066" s="15">
        <v>3</v>
      </c>
      <c r="M1066" s="188">
        <v>28.3</v>
      </c>
      <c r="N1066" s="169" t="s">
        <v>11</v>
      </c>
    </row>
    <row r="1067" spans="1:14" x14ac:dyDescent="0.25">
      <c r="A1067" s="63" t="s">
        <v>8</v>
      </c>
      <c r="B1067" s="71" t="s">
        <v>2918</v>
      </c>
      <c r="C1067" s="2">
        <v>4058075300743</v>
      </c>
      <c r="D1067" s="84"/>
      <c r="E1067" s="85"/>
      <c r="F1067" s="16"/>
      <c r="G1067" s="156" t="str">
        <f>HYPERLINK("https://ledvance.com/pt/product-datasheet/8838/130255","Ficha Técnica")</f>
        <v>Ficha Técnica</v>
      </c>
      <c r="H1067" s="15">
        <v>6</v>
      </c>
      <c r="I1067" s="163">
        <v>2160</v>
      </c>
      <c r="J1067" s="15">
        <v>18</v>
      </c>
      <c r="K1067" s="163" t="s">
        <v>138</v>
      </c>
      <c r="L1067" s="15">
        <v>3</v>
      </c>
      <c r="M1067" s="188">
        <v>33</v>
      </c>
      <c r="N1067" s="169" t="s">
        <v>11</v>
      </c>
    </row>
    <row r="1068" spans="1:14" x14ac:dyDescent="0.25">
      <c r="A1068" s="63" t="s">
        <v>8</v>
      </c>
      <c r="B1068" s="71" t="s">
        <v>2919</v>
      </c>
      <c r="C1068" s="2">
        <v>4058075300781</v>
      </c>
      <c r="D1068" s="84"/>
      <c r="E1068" s="85"/>
      <c r="F1068" s="16"/>
      <c r="G1068" s="156" t="str">
        <f>HYPERLINK("https://ledvance.com/pt/product-datasheet/8838/45053","Ficha Técnica")</f>
        <v>Ficha Técnica</v>
      </c>
      <c r="H1068" s="15">
        <v>6</v>
      </c>
      <c r="I1068" s="163">
        <v>2400</v>
      </c>
      <c r="J1068" s="15">
        <v>20</v>
      </c>
      <c r="K1068" s="163" t="s">
        <v>138</v>
      </c>
      <c r="L1068" s="15">
        <v>3</v>
      </c>
      <c r="M1068" s="188">
        <v>47.1</v>
      </c>
      <c r="N1068" s="169" t="s">
        <v>11</v>
      </c>
    </row>
    <row r="1069" spans="1:14" x14ac:dyDescent="0.25">
      <c r="A1069" s="63" t="s">
        <v>8</v>
      </c>
      <c r="B1069" s="71" t="s">
        <v>2920</v>
      </c>
      <c r="C1069" s="2">
        <v>4058075300828</v>
      </c>
      <c r="D1069" s="84"/>
      <c r="E1069" s="85"/>
      <c r="F1069" s="16"/>
      <c r="G1069" s="156" t="str">
        <f>HYPERLINK("https://ledvance.com/pt/product-datasheet/8838/45059","Ficha Técnica")</f>
        <v>Ficha Técnica</v>
      </c>
      <c r="H1069" s="15">
        <v>6</v>
      </c>
      <c r="I1069" s="163">
        <v>4800</v>
      </c>
      <c r="J1069" s="15">
        <v>40</v>
      </c>
      <c r="K1069" s="163" t="s">
        <v>138</v>
      </c>
      <c r="L1069" s="15">
        <v>3</v>
      </c>
      <c r="M1069" s="188">
        <v>58.2</v>
      </c>
      <c r="N1069" s="169" t="s">
        <v>11</v>
      </c>
    </row>
    <row r="1070" spans="1:14" x14ac:dyDescent="0.25">
      <c r="A1070" s="63" t="s">
        <v>8</v>
      </c>
      <c r="B1070" s="71" t="s">
        <v>2921</v>
      </c>
      <c r="C1070" s="2">
        <v>4058075300866</v>
      </c>
      <c r="D1070" s="84"/>
      <c r="E1070" s="85"/>
      <c r="F1070" s="16"/>
      <c r="G1070" s="156" t="str">
        <f>HYPERLINK("https://ledvance.com/pt/product-datasheet/8838/130262","Ficha Técnica")</f>
        <v>Ficha Técnica</v>
      </c>
      <c r="H1070" s="15">
        <v>6</v>
      </c>
      <c r="I1070" s="163">
        <v>3000</v>
      </c>
      <c r="J1070" s="15">
        <v>25</v>
      </c>
      <c r="K1070" s="163" t="s">
        <v>138</v>
      </c>
      <c r="L1070" s="15">
        <v>3</v>
      </c>
      <c r="M1070" s="188">
        <v>50</v>
      </c>
      <c r="N1070" s="169" t="s">
        <v>11</v>
      </c>
    </row>
    <row r="1071" spans="1:14" x14ac:dyDescent="0.25">
      <c r="A1071" s="63" t="s">
        <v>8</v>
      </c>
      <c r="B1071" s="71" t="s">
        <v>2922</v>
      </c>
      <c r="C1071" s="2">
        <v>4058075300903</v>
      </c>
      <c r="D1071" s="84"/>
      <c r="E1071" s="85"/>
      <c r="F1071" s="16"/>
      <c r="G1071" s="156" t="str">
        <f>HYPERLINK("https://ledvance.com/pt/product-datasheet/8838/58201","Ficha Técnica")</f>
        <v>Ficha Técnica</v>
      </c>
      <c r="H1071" s="15">
        <v>6</v>
      </c>
      <c r="I1071" s="163">
        <v>6000</v>
      </c>
      <c r="J1071" s="15">
        <v>50</v>
      </c>
      <c r="K1071" s="163" t="s">
        <v>138</v>
      </c>
      <c r="L1071" s="15">
        <v>3</v>
      </c>
      <c r="M1071" s="188">
        <v>63.8</v>
      </c>
      <c r="N1071" s="169" t="s">
        <v>11</v>
      </c>
    </row>
    <row r="1072" spans="1:14" x14ac:dyDescent="0.25">
      <c r="A1072" s="63" t="s">
        <v>8</v>
      </c>
      <c r="B1072" s="71" t="s">
        <v>2923</v>
      </c>
      <c r="C1072" s="2">
        <v>4058075300941</v>
      </c>
      <c r="D1072" s="84"/>
      <c r="E1072" s="85"/>
      <c r="F1072" s="16"/>
      <c r="G1072" s="156" t="str">
        <f>HYPERLINK("https://ledvance.com/pt/product-datasheet/8838/130272","Ficha Técnica")</f>
        <v>Ficha Técnica</v>
      </c>
      <c r="H1072" s="15">
        <v>6</v>
      </c>
      <c r="I1072" s="163">
        <v>3700</v>
      </c>
      <c r="J1072" s="15">
        <v>34</v>
      </c>
      <c r="K1072" s="163" t="s">
        <v>138</v>
      </c>
      <c r="L1072" s="15">
        <v>3</v>
      </c>
      <c r="M1072" s="188">
        <v>78.900000000000006</v>
      </c>
      <c r="N1072" s="169" t="s">
        <v>11</v>
      </c>
    </row>
    <row r="1073" spans="1:14" x14ac:dyDescent="0.25">
      <c r="A1073" s="63" t="s">
        <v>8</v>
      </c>
      <c r="B1073" s="71" t="s">
        <v>2924</v>
      </c>
      <c r="C1073" s="2">
        <v>4058075300989</v>
      </c>
      <c r="D1073" s="84"/>
      <c r="E1073" s="85"/>
      <c r="F1073" s="16"/>
      <c r="G1073" s="156" t="str">
        <f>HYPERLINK("https://ledvance.com/pt/product-datasheet/8838/130279","Ficha Técnica")</f>
        <v>Ficha Técnica</v>
      </c>
      <c r="H1073" s="15">
        <v>6</v>
      </c>
      <c r="I1073" s="163">
        <v>7500</v>
      </c>
      <c r="J1073" s="15">
        <v>70</v>
      </c>
      <c r="K1073" s="163" t="s">
        <v>138</v>
      </c>
      <c r="L1073" s="15">
        <v>3</v>
      </c>
      <c r="M1073" s="188">
        <v>85.3</v>
      </c>
      <c r="N1073" s="169" t="s">
        <v>11</v>
      </c>
    </row>
    <row r="1074" spans="1:14" x14ac:dyDescent="0.25">
      <c r="A1074" s="66" t="s">
        <v>8</v>
      </c>
      <c r="B1074" s="69" t="s">
        <v>253</v>
      </c>
      <c r="C1074" s="51"/>
      <c r="D1074" s="65"/>
      <c r="E1074" s="86"/>
      <c r="F1074" s="12"/>
      <c r="G1074" s="157"/>
      <c r="H1074" s="12"/>
      <c r="I1074" s="62"/>
      <c r="J1074" s="27"/>
      <c r="K1074" s="62"/>
      <c r="L1074" s="12"/>
      <c r="M1074" s="191"/>
      <c r="N1074" s="65"/>
    </row>
    <row r="1075" spans="1:14" x14ac:dyDescent="0.25">
      <c r="A1075" s="63" t="s">
        <v>8</v>
      </c>
      <c r="B1075" s="71" t="s">
        <v>254</v>
      </c>
      <c r="C1075" s="2">
        <v>4058075066458</v>
      </c>
      <c r="D1075" s="84"/>
      <c r="E1075" s="85"/>
      <c r="F1075" s="16"/>
      <c r="G1075" s="156" t="str">
        <f>HYPERLINK("https://ledvance.com/pt/product-datasheet/8836/130208","Ficha Técnica")</f>
        <v>Ficha Técnica</v>
      </c>
      <c r="H1075" s="15">
        <v>20</v>
      </c>
      <c r="I1075" s="163">
        <v>4000</v>
      </c>
      <c r="J1075" s="15">
        <v>36</v>
      </c>
      <c r="K1075" s="163" t="s">
        <v>138</v>
      </c>
      <c r="L1075" s="15">
        <v>3</v>
      </c>
      <c r="M1075" s="188">
        <v>38.799999999999997</v>
      </c>
      <c r="N1075" s="169" t="s">
        <v>11</v>
      </c>
    </row>
    <row r="1076" spans="1:14" x14ac:dyDescent="0.25">
      <c r="A1076" s="63" t="s">
        <v>8</v>
      </c>
      <c r="B1076" s="71" t="s">
        <v>255</v>
      </c>
      <c r="C1076" s="2">
        <v>4058075066472</v>
      </c>
      <c r="D1076" s="84"/>
      <c r="E1076" s="85"/>
      <c r="F1076" s="16"/>
      <c r="G1076" s="156" t="str">
        <f>HYPERLINK("https://ledvance.com/pt/product-datasheet/8836/130212","Ficha Técnica")</f>
        <v>Ficha Técnica</v>
      </c>
      <c r="H1076" s="15">
        <v>20</v>
      </c>
      <c r="I1076" s="163">
        <v>4000</v>
      </c>
      <c r="J1076" s="15">
        <v>36</v>
      </c>
      <c r="K1076" s="163" t="s">
        <v>138</v>
      </c>
      <c r="L1076" s="15">
        <v>3</v>
      </c>
      <c r="M1076" s="188">
        <v>38.799999999999997</v>
      </c>
      <c r="N1076" s="169" t="s">
        <v>11</v>
      </c>
    </row>
    <row r="1077" spans="1:14" x14ac:dyDescent="0.25">
      <c r="A1077" s="63" t="s">
        <v>8</v>
      </c>
      <c r="B1077" s="71" t="s">
        <v>256</v>
      </c>
      <c r="C1077" s="2">
        <v>4058075066496</v>
      </c>
      <c r="D1077" s="84"/>
      <c r="E1077" s="85"/>
      <c r="F1077" s="16"/>
      <c r="G1077" s="156" t="str">
        <f>HYPERLINK("https://ledvance.com/pt/product-datasheet/8836/130216","Ficha Técnica")</f>
        <v>Ficha Técnica</v>
      </c>
      <c r="H1077" s="15">
        <v>20</v>
      </c>
      <c r="I1077" s="163">
        <v>5500</v>
      </c>
      <c r="J1077" s="15">
        <v>50</v>
      </c>
      <c r="K1077" s="163" t="s">
        <v>138</v>
      </c>
      <c r="L1077" s="15">
        <v>3</v>
      </c>
      <c r="M1077" s="188">
        <v>52.4</v>
      </c>
      <c r="N1077" s="169" t="s">
        <v>11</v>
      </c>
    </row>
    <row r="1078" spans="1:14" x14ac:dyDescent="0.25">
      <c r="A1078" s="63" t="s">
        <v>8</v>
      </c>
      <c r="B1078" s="71" t="s">
        <v>257</v>
      </c>
      <c r="C1078" s="2">
        <v>4058075066519</v>
      </c>
      <c r="D1078" s="84"/>
      <c r="E1078" s="85"/>
      <c r="F1078" s="16"/>
      <c r="G1078" s="156" t="str">
        <f>HYPERLINK("https://ledvance.com/pt/product-datasheet/8836/130220","Ficha Técnica")</f>
        <v>Ficha Técnica</v>
      </c>
      <c r="H1078" s="15">
        <v>20</v>
      </c>
      <c r="I1078" s="163">
        <v>5500</v>
      </c>
      <c r="J1078" s="15">
        <v>50</v>
      </c>
      <c r="K1078" s="163" t="s">
        <v>138</v>
      </c>
      <c r="L1078" s="15">
        <v>3</v>
      </c>
      <c r="M1078" s="188">
        <v>52.4</v>
      </c>
      <c r="N1078" s="169" t="s">
        <v>11</v>
      </c>
    </row>
    <row r="1079" spans="1:14" x14ac:dyDescent="0.25">
      <c r="A1079" s="66" t="s">
        <v>8</v>
      </c>
      <c r="B1079" s="69" t="s">
        <v>258</v>
      </c>
      <c r="C1079" s="51"/>
      <c r="D1079" s="65"/>
      <c r="E1079" s="86"/>
      <c r="F1079" s="12"/>
      <c r="G1079" s="157"/>
      <c r="H1079" s="12"/>
      <c r="I1079" s="62"/>
      <c r="J1079" s="27"/>
      <c r="K1079" s="62"/>
      <c r="L1079" s="12"/>
      <c r="M1079" s="191"/>
      <c r="N1079" s="65"/>
    </row>
    <row r="1080" spans="1:14" x14ac:dyDescent="0.25">
      <c r="A1080" s="63" t="s">
        <v>8</v>
      </c>
      <c r="B1080" s="71" t="s">
        <v>2925</v>
      </c>
      <c r="C1080" s="2">
        <v>4099854080326</v>
      </c>
      <c r="D1080" s="84"/>
      <c r="E1080" s="85"/>
      <c r="F1080" s="16"/>
      <c r="G1080" s="156" t="str">
        <f>HYPERLINK("https://ledvance.com/pt/product-datasheet/264971/242715","Ficha Técnica")</f>
        <v>Ficha Técnica</v>
      </c>
      <c r="H1080" s="15">
        <v>12</v>
      </c>
      <c r="I1080" s="163">
        <v>2835</v>
      </c>
      <c r="J1080" s="15">
        <v>21</v>
      </c>
      <c r="K1080" s="163" t="s">
        <v>138</v>
      </c>
      <c r="L1080" s="15">
        <v>5</v>
      </c>
      <c r="M1080" s="188">
        <v>31.9</v>
      </c>
      <c r="N1080" s="169" t="s">
        <v>11</v>
      </c>
    </row>
    <row r="1081" spans="1:14" x14ac:dyDescent="0.25">
      <c r="A1081" s="63" t="s">
        <v>8</v>
      </c>
      <c r="B1081" s="71" t="s">
        <v>2926</v>
      </c>
      <c r="C1081" s="2">
        <v>4099854080340</v>
      </c>
      <c r="D1081" s="84"/>
      <c r="E1081" s="85"/>
      <c r="F1081" s="16"/>
      <c r="G1081" s="156" t="str">
        <f>HYPERLINK("https://ledvance.com/pt/product-datasheet/264971/242748","Ficha Técnica")</f>
        <v>Ficha Técnica</v>
      </c>
      <c r="H1081" s="15">
        <v>12</v>
      </c>
      <c r="I1081" s="163">
        <v>2835</v>
      </c>
      <c r="J1081" s="15">
        <v>21</v>
      </c>
      <c r="K1081" s="163" t="s">
        <v>138</v>
      </c>
      <c r="L1081" s="15">
        <v>5</v>
      </c>
      <c r="M1081" s="188">
        <v>31.9</v>
      </c>
      <c r="N1081" s="169" t="s">
        <v>11</v>
      </c>
    </row>
    <row r="1082" spans="1:14" x14ac:dyDescent="0.25">
      <c r="A1082" s="63" t="s">
        <v>8</v>
      </c>
      <c r="B1082" s="71" t="s">
        <v>2927</v>
      </c>
      <c r="C1082" s="2">
        <v>4099854080364</v>
      </c>
      <c r="D1082" s="84"/>
      <c r="E1082" s="85"/>
      <c r="F1082" s="16"/>
      <c r="G1082" s="156" t="str">
        <f>HYPERLINK("https://ledvance.com/pt/product-datasheet/264971/242718","Ficha Técnica")</f>
        <v>Ficha Técnica</v>
      </c>
      <c r="H1082" s="15">
        <v>9</v>
      </c>
      <c r="I1082" s="163">
        <v>5670</v>
      </c>
      <c r="J1082" s="15">
        <v>42</v>
      </c>
      <c r="K1082" s="163" t="s">
        <v>138</v>
      </c>
      <c r="L1082" s="15">
        <v>5</v>
      </c>
      <c r="M1082" s="188">
        <v>43.5</v>
      </c>
      <c r="N1082" s="169" t="s">
        <v>11</v>
      </c>
    </row>
    <row r="1083" spans="1:14" x14ac:dyDescent="0.25">
      <c r="A1083" s="63" t="s">
        <v>8</v>
      </c>
      <c r="B1083" s="71" t="s">
        <v>2928</v>
      </c>
      <c r="C1083" s="2">
        <v>4099854080388</v>
      </c>
      <c r="D1083" s="84"/>
      <c r="E1083" s="85"/>
      <c r="F1083" s="16"/>
      <c r="G1083" s="156" t="str">
        <f>HYPERLINK("https://ledvance.com/pt/product-datasheet/264971/242751","Ficha Técnica")</f>
        <v>Ficha Técnica</v>
      </c>
      <c r="H1083" s="15">
        <v>9</v>
      </c>
      <c r="I1083" s="163">
        <v>5670</v>
      </c>
      <c r="J1083" s="15">
        <v>42</v>
      </c>
      <c r="K1083" s="163" t="s">
        <v>138</v>
      </c>
      <c r="L1083" s="15">
        <v>5</v>
      </c>
      <c r="M1083" s="188">
        <v>43.5</v>
      </c>
      <c r="N1083" s="169" t="s">
        <v>11</v>
      </c>
    </row>
    <row r="1084" spans="1:14" x14ac:dyDescent="0.25">
      <c r="A1084" s="63" t="s">
        <v>8</v>
      </c>
      <c r="B1084" s="71" t="s">
        <v>2929</v>
      </c>
      <c r="C1084" s="2">
        <v>4099854080401</v>
      </c>
      <c r="D1084" s="84"/>
      <c r="E1084" s="85"/>
      <c r="F1084" s="16"/>
      <c r="G1084" s="156" t="str">
        <f>HYPERLINK("https://ledvance.com/pt/product-datasheet/264971/242721","Ficha Técnica")</f>
        <v>Ficha Técnica</v>
      </c>
      <c r="H1084" s="15">
        <v>6</v>
      </c>
      <c r="I1084" s="163">
        <v>7020</v>
      </c>
      <c r="J1084" s="15">
        <v>52</v>
      </c>
      <c r="K1084" s="163" t="s">
        <v>138</v>
      </c>
      <c r="L1084" s="15">
        <v>5</v>
      </c>
      <c r="M1084" s="188">
        <v>56.3</v>
      </c>
      <c r="N1084" s="169" t="s">
        <v>11</v>
      </c>
    </row>
    <row r="1085" spans="1:14" x14ac:dyDescent="0.25">
      <c r="A1085" s="63" t="s">
        <v>8</v>
      </c>
      <c r="B1085" s="71" t="s">
        <v>2930</v>
      </c>
      <c r="C1085" s="2">
        <v>4099854080425</v>
      </c>
      <c r="D1085" s="84"/>
      <c r="E1085" s="85"/>
      <c r="F1085" s="16"/>
      <c r="G1085" s="156" t="str">
        <f>HYPERLINK("https://ledvance.com/pt/product-datasheet/264971/242754","Ficha Técnica")</f>
        <v>Ficha Técnica</v>
      </c>
      <c r="H1085" s="15">
        <v>6</v>
      </c>
      <c r="I1085" s="163">
        <v>7020</v>
      </c>
      <c r="J1085" s="15">
        <v>52</v>
      </c>
      <c r="K1085" s="163" t="s">
        <v>138</v>
      </c>
      <c r="L1085" s="15">
        <v>5</v>
      </c>
      <c r="M1085" s="188">
        <v>56.3</v>
      </c>
      <c r="N1085" s="169" t="s">
        <v>11</v>
      </c>
    </row>
    <row r="1086" spans="1:14" x14ac:dyDescent="0.25">
      <c r="A1086" s="63" t="s">
        <v>8</v>
      </c>
      <c r="B1086" s="71" t="s">
        <v>2931</v>
      </c>
      <c r="C1086" s="2">
        <v>4099854080449</v>
      </c>
      <c r="D1086" s="84"/>
      <c r="E1086" s="85"/>
      <c r="F1086" s="16"/>
      <c r="G1086" s="156" t="str">
        <f>HYPERLINK("https://ledvance.com/pt/product-datasheet/264973/242724","Ficha Técnica")</f>
        <v>Ficha Técnica</v>
      </c>
      <c r="H1086" s="15">
        <v>6</v>
      </c>
      <c r="I1086" s="163">
        <v>6760</v>
      </c>
      <c r="J1086" s="15">
        <v>52</v>
      </c>
      <c r="K1086" s="163" t="s">
        <v>138</v>
      </c>
      <c r="L1086" s="15">
        <v>5</v>
      </c>
      <c r="M1086" s="188">
        <v>77.2</v>
      </c>
      <c r="N1086" s="169" t="s">
        <v>11</v>
      </c>
    </row>
    <row r="1087" spans="1:14" x14ac:dyDescent="0.25">
      <c r="A1087" s="63" t="s">
        <v>8</v>
      </c>
      <c r="B1087" s="71" t="s">
        <v>2932</v>
      </c>
      <c r="C1087" s="2">
        <v>4099854080463</v>
      </c>
      <c r="D1087" s="84"/>
      <c r="E1087" s="85"/>
      <c r="F1087" s="16"/>
      <c r="G1087" s="156" t="str">
        <f>HYPERLINK("https://ledvance.com/pt/product-datasheet/264973/242757","Ficha Técnica")</f>
        <v>Ficha Técnica</v>
      </c>
      <c r="H1087" s="15">
        <v>6</v>
      </c>
      <c r="I1087" s="163">
        <v>6760</v>
      </c>
      <c r="J1087" s="15">
        <v>52</v>
      </c>
      <c r="K1087" s="163" t="s">
        <v>138</v>
      </c>
      <c r="L1087" s="15">
        <v>5</v>
      </c>
      <c r="M1087" s="188">
        <v>77.2</v>
      </c>
      <c r="N1087" s="169" t="s">
        <v>11</v>
      </c>
    </row>
    <row r="1088" spans="1:14" x14ac:dyDescent="0.25">
      <c r="A1088" s="63" t="s">
        <v>8</v>
      </c>
      <c r="B1088" s="71" t="s">
        <v>2933</v>
      </c>
      <c r="C1088" s="2">
        <v>4099854080487</v>
      </c>
      <c r="D1088" s="84"/>
      <c r="E1088" s="85"/>
      <c r="F1088" s="16"/>
      <c r="G1088" s="156" t="str">
        <f>HYPERLINK("https://ledvance.com/pt/product-datasheet/264972/242727","Ficha Técnica")</f>
        <v>Ficha Técnica</v>
      </c>
      <c r="H1088" s="15">
        <v>6</v>
      </c>
      <c r="I1088" s="163">
        <v>6760</v>
      </c>
      <c r="J1088" s="15">
        <v>52</v>
      </c>
      <c r="K1088" s="163" t="s">
        <v>138</v>
      </c>
      <c r="L1088" s="15">
        <v>5</v>
      </c>
      <c r="M1088" s="188">
        <v>77.2</v>
      </c>
      <c r="N1088" s="169" t="s">
        <v>11</v>
      </c>
    </row>
    <row r="1089" spans="1:14" x14ac:dyDescent="0.25">
      <c r="A1089" s="63" t="s">
        <v>8</v>
      </c>
      <c r="B1089" s="71" t="s">
        <v>2934</v>
      </c>
      <c r="C1089" s="2">
        <v>4099854080500</v>
      </c>
      <c r="D1089" s="84"/>
      <c r="E1089" s="85"/>
      <c r="F1089" s="16"/>
      <c r="G1089" s="156" t="str">
        <f>HYPERLINK("https://ledvance.com/pt/product-datasheet/264972/242760","Ficha Técnica")</f>
        <v>Ficha Técnica</v>
      </c>
      <c r="H1089" s="15">
        <v>6</v>
      </c>
      <c r="I1089" s="163">
        <v>6760</v>
      </c>
      <c r="J1089" s="15">
        <v>52</v>
      </c>
      <c r="K1089" s="163" t="s">
        <v>138</v>
      </c>
      <c r="L1089" s="15">
        <v>5</v>
      </c>
      <c r="M1089" s="188">
        <v>77.2</v>
      </c>
      <c r="N1089" s="169" t="s">
        <v>11</v>
      </c>
    </row>
    <row r="1090" spans="1:14" x14ac:dyDescent="0.25">
      <c r="A1090" s="63" t="s">
        <v>8</v>
      </c>
      <c r="B1090" s="71" t="s">
        <v>2935</v>
      </c>
      <c r="C1090" s="2">
        <v>4099854080524</v>
      </c>
      <c r="D1090" s="84"/>
      <c r="E1090" s="85"/>
      <c r="F1090" s="16"/>
      <c r="G1090" s="156" t="str">
        <f>HYPERLINK("https://ledvance.com/pt/product-datasheet/264971/242736","Ficha Técnica")</f>
        <v>Ficha Técnica</v>
      </c>
      <c r="H1090" s="15">
        <v>6</v>
      </c>
      <c r="I1090" s="163">
        <v>8910</v>
      </c>
      <c r="J1090" s="15">
        <v>66</v>
      </c>
      <c r="K1090" s="163" t="s">
        <v>138</v>
      </c>
      <c r="L1090" s="15">
        <v>5</v>
      </c>
      <c r="M1090" s="188">
        <v>85.2</v>
      </c>
      <c r="N1090" s="169" t="s">
        <v>11</v>
      </c>
    </row>
    <row r="1091" spans="1:14" x14ac:dyDescent="0.25">
      <c r="A1091" s="63" t="s">
        <v>8</v>
      </c>
      <c r="B1091" s="71" t="s">
        <v>2936</v>
      </c>
      <c r="C1091" s="2">
        <v>4099854080548</v>
      </c>
      <c r="D1091" s="84"/>
      <c r="E1091" s="85"/>
      <c r="F1091" s="16"/>
      <c r="G1091" s="156" t="str">
        <f>HYPERLINK("https://ledvance.com/pt/product-datasheet/264971/242763","Ficha Técnica")</f>
        <v>Ficha Técnica</v>
      </c>
      <c r="H1091" s="15">
        <v>6</v>
      </c>
      <c r="I1091" s="163">
        <v>8910</v>
      </c>
      <c r="J1091" s="15">
        <v>66</v>
      </c>
      <c r="K1091" s="163" t="s">
        <v>138</v>
      </c>
      <c r="L1091" s="15">
        <v>5</v>
      </c>
      <c r="M1091" s="188">
        <v>85.2</v>
      </c>
      <c r="N1091" s="169" t="s">
        <v>11</v>
      </c>
    </row>
    <row r="1092" spans="1:14" x14ac:dyDescent="0.25">
      <c r="A1092" s="63" t="s">
        <v>8</v>
      </c>
      <c r="B1092" s="71" t="s">
        <v>2937</v>
      </c>
      <c r="C1092" s="2">
        <v>4099854080609</v>
      </c>
      <c r="D1092" s="84"/>
      <c r="E1092" s="85"/>
      <c r="F1092" s="16"/>
      <c r="G1092" s="156" t="str">
        <f>HYPERLINK("https://ledvance.com/pt/product-datasheet/264972/242733","Ficha Técnica")</f>
        <v>Ficha Técnica</v>
      </c>
      <c r="H1092" s="15">
        <v>6</v>
      </c>
      <c r="I1092" s="163">
        <v>8580</v>
      </c>
      <c r="J1092" s="15">
        <v>66</v>
      </c>
      <c r="K1092" s="163" t="s">
        <v>138</v>
      </c>
      <c r="L1092" s="15">
        <v>5</v>
      </c>
      <c r="M1092" s="188">
        <v>102.8</v>
      </c>
      <c r="N1092" s="169" t="s">
        <v>11</v>
      </c>
    </row>
    <row r="1093" spans="1:14" x14ac:dyDescent="0.25">
      <c r="A1093" s="63" t="s">
        <v>8</v>
      </c>
      <c r="B1093" s="71" t="s">
        <v>2938</v>
      </c>
      <c r="C1093" s="2">
        <v>4099854080630</v>
      </c>
      <c r="D1093" s="84"/>
      <c r="E1093" s="85"/>
      <c r="F1093" s="16"/>
      <c r="G1093" s="156" t="str">
        <f>HYPERLINK("https://ledvance.com/pt/product-datasheet/264972/242769","Ficha Técnica")</f>
        <v>Ficha Técnica</v>
      </c>
      <c r="H1093" s="15">
        <v>6</v>
      </c>
      <c r="I1093" s="163">
        <v>8580</v>
      </c>
      <c r="J1093" s="15">
        <v>66</v>
      </c>
      <c r="K1093" s="163" t="s">
        <v>138</v>
      </c>
      <c r="L1093" s="15">
        <v>5</v>
      </c>
      <c r="M1093" s="188">
        <v>102.8</v>
      </c>
      <c r="N1093" s="169" t="s">
        <v>11</v>
      </c>
    </row>
    <row r="1094" spans="1:14" x14ac:dyDescent="0.25">
      <c r="A1094" s="63" t="s">
        <v>8</v>
      </c>
      <c r="B1094" s="71" t="s">
        <v>2939</v>
      </c>
      <c r="C1094" s="2">
        <v>4099854080562</v>
      </c>
      <c r="D1094" s="84"/>
      <c r="E1094" s="85"/>
      <c r="F1094" s="16"/>
      <c r="G1094" s="156" t="str">
        <f>HYPERLINK("https://ledvance.com/pt/product-datasheet/264973/242730","Ficha Técnica")</f>
        <v>Ficha Técnica</v>
      </c>
      <c r="H1094" s="15">
        <v>6</v>
      </c>
      <c r="I1094" s="163">
        <v>8580</v>
      </c>
      <c r="J1094" s="15">
        <v>66</v>
      </c>
      <c r="K1094" s="163" t="s">
        <v>138</v>
      </c>
      <c r="L1094" s="15">
        <v>5</v>
      </c>
      <c r="M1094" s="188">
        <v>102.8</v>
      </c>
      <c r="N1094" s="169" t="s">
        <v>11</v>
      </c>
    </row>
    <row r="1095" spans="1:14" x14ac:dyDescent="0.25">
      <c r="A1095" s="63" t="s">
        <v>8</v>
      </c>
      <c r="B1095" s="71" t="s">
        <v>2940</v>
      </c>
      <c r="C1095" s="2">
        <v>4099854080586</v>
      </c>
      <c r="D1095" s="84"/>
      <c r="E1095" s="85"/>
      <c r="F1095" s="16"/>
      <c r="G1095" s="156" t="str">
        <f>HYPERLINK("https://ledvance.com/pt/product-datasheet/264973/242766","Ficha Técnica")</f>
        <v>Ficha Técnica</v>
      </c>
      <c r="H1095" s="15">
        <v>6</v>
      </c>
      <c r="I1095" s="163">
        <v>8580</v>
      </c>
      <c r="J1095" s="15">
        <v>66</v>
      </c>
      <c r="K1095" s="163" t="s">
        <v>138</v>
      </c>
      <c r="L1095" s="15">
        <v>5</v>
      </c>
      <c r="M1095" s="188">
        <v>102.8</v>
      </c>
      <c r="N1095" s="169" t="s">
        <v>11</v>
      </c>
    </row>
    <row r="1096" spans="1:14" x14ac:dyDescent="0.25">
      <c r="A1096" s="63" t="s">
        <v>8</v>
      </c>
      <c r="B1096" s="71" t="s">
        <v>2941</v>
      </c>
      <c r="C1096" s="2">
        <v>4099854080654</v>
      </c>
      <c r="D1096" s="84"/>
      <c r="E1096" s="85"/>
      <c r="F1096" s="16"/>
      <c r="G1096" s="156" t="str">
        <f>HYPERLINK("https://ledvance.com/pt/product-datasheet/264971/242745","Ficha Técnica")</f>
        <v>Ficha Técnica</v>
      </c>
      <c r="H1096" s="15">
        <v>6</v>
      </c>
      <c r="I1096" s="163">
        <v>10800</v>
      </c>
      <c r="J1096" s="15">
        <v>80</v>
      </c>
      <c r="K1096" s="163" t="s">
        <v>138</v>
      </c>
      <c r="L1096" s="15">
        <v>5</v>
      </c>
      <c r="M1096" s="188">
        <v>99.6</v>
      </c>
      <c r="N1096" s="169" t="s">
        <v>11</v>
      </c>
    </row>
    <row r="1097" spans="1:14" x14ac:dyDescent="0.25">
      <c r="A1097" s="63" t="s">
        <v>8</v>
      </c>
      <c r="B1097" s="71" t="s">
        <v>2942</v>
      </c>
      <c r="C1097" s="2">
        <v>4099854080692</v>
      </c>
      <c r="D1097" s="84"/>
      <c r="E1097" s="85"/>
      <c r="F1097" s="16"/>
      <c r="G1097" s="156" t="str">
        <f>HYPERLINK("https://ledvance.com/pt/product-datasheet/264971/242772","Ficha Técnica")</f>
        <v>Ficha Técnica</v>
      </c>
      <c r="H1097" s="15">
        <v>6</v>
      </c>
      <c r="I1097" s="163">
        <v>10800</v>
      </c>
      <c r="J1097" s="15">
        <v>80</v>
      </c>
      <c r="K1097" s="163" t="s">
        <v>138</v>
      </c>
      <c r="L1097" s="15">
        <v>5</v>
      </c>
      <c r="M1097" s="188">
        <v>99.6</v>
      </c>
      <c r="N1097" s="169" t="s">
        <v>11</v>
      </c>
    </row>
    <row r="1098" spans="1:14" x14ac:dyDescent="0.25">
      <c r="A1098" s="63" t="s">
        <v>8</v>
      </c>
      <c r="B1098" s="71" t="s">
        <v>2943</v>
      </c>
      <c r="C1098" s="2">
        <v>4099854080777</v>
      </c>
      <c r="D1098" s="84"/>
      <c r="E1098" s="85"/>
      <c r="F1098" s="16"/>
      <c r="G1098" s="156" t="str">
        <f>HYPERLINK("https://ledvance.com/pt/product-datasheet/264972/242742","Ficha Técnica")</f>
        <v>Ficha Técnica</v>
      </c>
      <c r="H1098" s="15">
        <v>6</v>
      </c>
      <c r="I1098" s="163">
        <v>10400</v>
      </c>
      <c r="J1098" s="15">
        <v>80</v>
      </c>
      <c r="K1098" s="163" t="s">
        <v>138</v>
      </c>
      <c r="L1098" s="15">
        <v>5</v>
      </c>
      <c r="M1098" s="188">
        <v>112.4</v>
      </c>
      <c r="N1098" s="169" t="s">
        <v>11</v>
      </c>
    </row>
    <row r="1099" spans="1:14" x14ac:dyDescent="0.25">
      <c r="A1099" s="63" t="s">
        <v>8</v>
      </c>
      <c r="B1099" s="71" t="s">
        <v>2944</v>
      </c>
      <c r="C1099" s="2">
        <v>4099854080791</v>
      </c>
      <c r="D1099" s="84"/>
      <c r="E1099" s="85"/>
      <c r="F1099" s="16"/>
      <c r="G1099" s="156" t="str">
        <f>HYPERLINK("https://ledvance.com/pt/product-datasheet/264972/242778","Ficha Técnica")</f>
        <v>Ficha Técnica</v>
      </c>
      <c r="H1099" s="15">
        <v>6</v>
      </c>
      <c r="I1099" s="163">
        <v>10400</v>
      </c>
      <c r="J1099" s="15">
        <v>80</v>
      </c>
      <c r="K1099" s="163" t="s">
        <v>138</v>
      </c>
      <c r="L1099" s="15">
        <v>5</v>
      </c>
      <c r="M1099" s="188">
        <v>112.4</v>
      </c>
      <c r="N1099" s="169" t="s">
        <v>11</v>
      </c>
    </row>
    <row r="1100" spans="1:14" x14ac:dyDescent="0.25">
      <c r="A1100" s="63" t="s">
        <v>8</v>
      </c>
      <c r="B1100" s="71" t="s">
        <v>2945</v>
      </c>
      <c r="C1100" s="2">
        <v>4099854080715</v>
      </c>
      <c r="D1100" s="84"/>
      <c r="E1100" s="104"/>
      <c r="F1100" s="16"/>
      <c r="G1100" s="156" t="str">
        <f>HYPERLINK("https://ledvance.com/pt/product-datasheet/264973/242739","Ficha Técnica")</f>
        <v>Ficha Técnica</v>
      </c>
      <c r="H1100" s="15">
        <v>6</v>
      </c>
      <c r="I1100" s="163">
        <v>10400</v>
      </c>
      <c r="J1100" s="15">
        <v>80</v>
      </c>
      <c r="K1100" s="163" t="s">
        <v>138</v>
      </c>
      <c r="L1100" s="15">
        <v>5</v>
      </c>
      <c r="M1100" s="188">
        <v>112.4</v>
      </c>
      <c r="N1100" s="169" t="s">
        <v>11</v>
      </c>
    </row>
    <row r="1101" spans="1:14" x14ac:dyDescent="0.25">
      <c r="A1101" s="63" t="s">
        <v>8</v>
      </c>
      <c r="B1101" s="71" t="s">
        <v>2946</v>
      </c>
      <c r="C1101" s="2">
        <v>4099854080739</v>
      </c>
      <c r="D1101" s="84"/>
      <c r="E1101" s="104"/>
      <c r="F1101" s="16"/>
      <c r="G1101" s="156" t="str">
        <f>HYPERLINK("https://ledvance.com/pt/product-datasheet/264973/242775","Ficha Técnica")</f>
        <v>Ficha Técnica</v>
      </c>
      <c r="H1101" s="15">
        <v>6</v>
      </c>
      <c r="I1101" s="163">
        <v>10400</v>
      </c>
      <c r="J1101" s="15">
        <v>80</v>
      </c>
      <c r="K1101" s="163" t="s">
        <v>138</v>
      </c>
      <c r="L1101" s="15">
        <v>5</v>
      </c>
      <c r="M1101" s="188">
        <v>112.4</v>
      </c>
      <c r="N1101" s="169" t="s">
        <v>11</v>
      </c>
    </row>
    <row r="1102" spans="1:14" x14ac:dyDescent="0.25">
      <c r="A1102" s="66" t="s">
        <v>8</v>
      </c>
      <c r="B1102" s="69" t="s">
        <v>1548</v>
      </c>
      <c r="C1102" s="51"/>
      <c r="D1102" s="65"/>
      <c r="E1102" s="92"/>
      <c r="F1102" s="12"/>
      <c r="G1102" s="157"/>
      <c r="H1102" s="12"/>
      <c r="I1102" s="62"/>
      <c r="J1102" s="27"/>
      <c r="K1102" s="62"/>
      <c r="L1102" s="12"/>
      <c r="M1102" s="191"/>
      <c r="N1102" s="65"/>
    </row>
    <row r="1103" spans="1:14" x14ac:dyDescent="0.25">
      <c r="A1103" s="63" t="s">
        <v>8</v>
      </c>
      <c r="B1103" s="71" t="s">
        <v>2947</v>
      </c>
      <c r="C1103" s="59">
        <v>4058075603257</v>
      </c>
      <c r="D1103" s="90"/>
      <c r="E1103" s="91"/>
      <c r="G1103" s="156" t="str">
        <f>HYPERLINK("https://ledvance.com/pt/product-datasheet/188200/140933","Ficha Técnica")</f>
        <v>Ficha Técnica</v>
      </c>
      <c r="H1103" s="15">
        <v>1</v>
      </c>
      <c r="I1103" s="163">
        <v>13000</v>
      </c>
      <c r="J1103" s="15">
        <v>87</v>
      </c>
      <c r="K1103" s="163" t="s">
        <v>138</v>
      </c>
      <c r="L1103" s="15">
        <v>5</v>
      </c>
      <c r="M1103" s="188">
        <v>237</v>
      </c>
      <c r="N1103" s="169" t="s">
        <v>11</v>
      </c>
    </row>
    <row r="1104" spans="1:14" x14ac:dyDescent="0.25">
      <c r="A1104" s="63" t="s">
        <v>8</v>
      </c>
      <c r="B1104" s="71" t="s">
        <v>2948</v>
      </c>
      <c r="C1104" s="59">
        <v>4058075603264</v>
      </c>
      <c r="D1104" s="90"/>
      <c r="E1104" s="91"/>
      <c r="G1104" s="156" t="str">
        <f>HYPERLINK("https://ledvance.com/pt/product-datasheet/188200/140935","Ficha Técnica")</f>
        <v>Ficha Técnica</v>
      </c>
      <c r="H1104" s="15">
        <v>1</v>
      </c>
      <c r="I1104" s="163">
        <v>22000</v>
      </c>
      <c r="J1104" s="15">
        <v>147</v>
      </c>
      <c r="K1104" s="163" t="s">
        <v>138</v>
      </c>
      <c r="L1104" s="15">
        <v>5</v>
      </c>
      <c r="M1104" s="188">
        <v>290.7</v>
      </c>
      <c r="N1104" s="169" t="s">
        <v>11</v>
      </c>
    </row>
    <row r="1105" spans="1:14" x14ac:dyDescent="0.25">
      <c r="A1105" s="63" t="s">
        <v>8</v>
      </c>
      <c r="B1105" s="71" t="s">
        <v>2949</v>
      </c>
      <c r="C1105" s="59">
        <v>4058075603271</v>
      </c>
      <c r="D1105" s="90"/>
      <c r="E1105" s="91"/>
      <c r="G1105" s="156" t="str">
        <f>HYPERLINK("https://ledvance.com/pt/product-datasheet/188200/140937","Ficha Técnica")</f>
        <v>Ficha Técnica</v>
      </c>
      <c r="H1105" s="15">
        <v>1</v>
      </c>
      <c r="I1105" s="163">
        <v>22000</v>
      </c>
      <c r="J1105" s="15">
        <v>147</v>
      </c>
      <c r="K1105" s="163" t="s">
        <v>138</v>
      </c>
      <c r="L1105" s="15">
        <v>5</v>
      </c>
      <c r="M1105" s="188">
        <v>290.7</v>
      </c>
      <c r="N1105" s="169" t="s">
        <v>11</v>
      </c>
    </row>
    <row r="1106" spans="1:14" x14ac:dyDescent="0.25">
      <c r="A1106" s="63" t="s">
        <v>8</v>
      </c>
      <c r="B1106" s="71" t="s">
        <v>2950</v>
      </c>
      <c r="C1106" s="59">
        <v>4058075603288</v>
      </c>
      <c r="D1106" s="90"/>
      <c r="E1106" s="91"/>
      <c r="G1106" s="156" t="str">
        <f>HYPERLINK("https://ledvance.com/pt/product-datasheet/188200/140939","Ficha Técnica")</f>
        <v>Ficha Técnica</v>
      </c>
      <c r="H1106" s="15">
        <v>1</v>
      </c>
      <c r="I1106" s="163">
        <v>27000</v>
      </c>
      <c r="J1106" s="15">
        <v>190</v>
      </c>
      <c r="K1106" s="163" t="s">
        <v>138</v>
      </c>
      <c r="L1106" s="15">
        <v>5</v>
      </c>
      <c r="M1106" s="188">
        <v>335</v>
      </c>
      <c r="N1106" s="169" t="s">
        <v>11</v>
      </c>
    </row>
    <row r="1107" spans="1:14" x14ac:dyDescent="0.25">
      <c r="A1107" s="66" t="s">
        <v>40</v>
      </c>
      <c r="B1107" s="69" t="s">
        <v>2112</v>
      </c>
      <c r="C1107" s="51"/>
      <c r="D1107" s="65"/>
      <c r="E1107" s="92"/>
      <c r="F1107" s="12"/>
      <c r="G1107" s="157"/>
      <c r="H1107" s="12"/>
      <c r="I1107" s="62"/>
      <c r="J1107" s="27"/>
      <c r="K1107" s="62"/>
      <c r="L1107" s="12"/>
      <c r="M1107" s="191"/>
      <c r="N1107" s="65"/>
    </row>
    <row r="1108" spans="1:14" x14ac:dyDescent="0.25">
      <c r="A1108" s="63" t="s">
        <v>40</v>
      </c>
      <c r="B1108" s="71" t="s">
        <v>267</v>
      </c>
      <c r="C1108" s="59">
        <v>4058075699397</v>
      </c>
      <c r="D1108" s="90"/>
      <c r="E1108" s="91"/>
      <c r="G1108" s="156" t="str">
        <f>HYPERLINK("https://ledvance.com/pt/product-datasheet/188208/180981","Ficha Técnica")</f>
        <v>Ficha Técnica</v>
      </c>
      <c r="H1108" s="15">
        <v>2</v>
      </c>
      <c r="I1108" s="163"/>
      <c r="J1108" s="15"/>
      <c r="K1108" s="163"/>
      <c r="L1108" s="15">
        <v>5</v>
      </c>
      <c r="M1108" s="188">
        <v>27.4</v>
      </c>
      <c r="N1108" s="169" t="s">
        <v>11</v>
      </c>
    </row>
    <row r="1109" spans="1:14" x14ac:dyDescent="0.25">
      <c r="A1109" s="63" t="s">
        <v>40</v>
      </c>
      <c r="B1109" s="71" t="s">
        <v>268</v>
      </c>
      <c r="C1109" s="59">
        <v>4058075699410</v>
      </c>
      <c r="D1109" s="90"/>
      <c r="E1109" s="91"/>
      <c r="G1109" s="156" t="str">
        <f>HYPERLINK("https://ledvance.com/pt/product-datasheet/188208/180985","Ficha Técnica")</f>
        <v>Ficha Técnica</v>
      </c>
      <c r="H1109" s="15">
        <v>2</v>
      </c>
      <c r="I1109" s="163"/>
      <c r="J1109" s="15"/>
      <c r="K1109" s="163"/>
      <c r="L1109" s="15">
        <v>5</v>
      </c>
      <c r="M1109" s="188">
        <v>37.9</v>
      </c>
      <c r="N1109" s="169" t="s">
        <v>11</v>
      </c>
    </row>
    <row r="1110" spans="1:14" x14ac:dyDescent="0.25">
      <c r="A1110" s="63" t="s">
        <v>40</v>
      </c>
      <c r="B1110" s="71" t="s">
        <v>269</v>
      </c>
      <c r="C1110" s="59">
        <v>4058075611412</v>
      </c>
      <c r="D1110" s="90"/>
      <c r="E1110" s="91"/>
      <c r="G1110" s="156" t="str">
        <f>HYPERLINK("https://ledvance.com/pt/product-datasheet/188213/157372","Ficha Técnica")</f>
        <v>Ficha Técnica</v>
      </c>
      <c r="H1110" s="15">
        <v>60</v>
      </c>
      <c r="I1110" s="163"/>
      <c r="J1110" s="15"/>
      <c r="K1110" s="163"/>
      <c r="L1110" s="15">
        <v>5</v>
      </c>
      <c r="M1110" s="188">
        <v>61.4</v>
      </c>
      <c r="N1110" s="169" t="s">
        <v>11</v>
      </c>
    </row>
    <row r="1111" spans="1:14" x14ac:dyDescent="0.25">
      <c r="A1111" s="63" t="s">
        <v>40</v>
      </c>
      <c r="B1111" s="71" t="s">
        <v>270</v>
      </c>
      <c r="C1111" s="59">
        <v>4058075611436</v>
      </c>
      <c r="D1111" s="90"/>
      <c r="E1111" s="91"/>
      <c r="G1111" s="156" t="str">
        <f>HYPERLINK("https://ledvance.com/pt/product-datasheet/188213/157375","Ficha Técnica")</f>
        <v>Ficha Técnica</v>
      </c>
      <c r="H1111" s="15">
        <v>60</v>
      </c>
      <c r="I1111" s="163"/>
      <c r="J1111" s="15"/>
      <c r="K1111" s="163"/>
      <c r="L1111" s="15">
        <v>2</v>
      </c>
      <c r="M1111" s="188">
        <v>22.7</v>
      </c>
      <c r="N1111" s="169" t="s">
        <v>11</v>
      </c>
    </row>
    <row r="1112" spans="1:14" x14ac:dyDescent="0.25">
      <c r="A1112" s="66" t="s">
        <v>8</v>
      </c>
      <c r="B1112" s="69" t="s">
        <v>1666</v>
      </c>
      <c r="C1112" s="51"/>
      <c r="D1112" s="65"/>
      <c r="E1112" s="113"/>
      <c r="F1112" s="12"/>
      <c r="G1112" s="157"/>
      <c r="H1112" s="12"/>
      <c r="I1112" s="62"/>
      <c r="J1112" s="27"/>
      <c r="K1112" s="62"/>
      <c r="L1112" s="12"/>
      <c r="M1112" s="191"/>
      <c r="N1112" s="65"/>
    </row>
    <row r="1113" spans="1:14" x14ac:dyDescent="0.25">
      <c r="A1113" s="63" t="s">
        <v>8</v>
      </c>
      <c r="B1113" s="71" t="s">
        <v>2951</v>
      </c>
      <c r="C1113" s="59">
        <v>4058075844285</v>
      </c>
      <c r="D1113" s="95">
        <v>4058075692787</v>
      </c>
      <c r="E1113" s="96" t="s">
        <v>2952</v>
      </c>
      <c r="G1113" s="156" t="str">
        <f>HYPERLINK("https://ledvance.com/pt/product-datasheet/323854/307824","Ficha Técnica")</f>
        <v>Ficha Técnica</v>
      </c>
      <c r="H1113" s="15">
        <v>1</v>
      </c>
      <c r="I1113" s="163" t="s">
        <v>1765</v>
      </c>
      <c r="J1113" s="15" t="s">
        <v>1766</v>
      </c>
      <c r="K1113" s="163" t="s">
        <v>249</v>
      </c>
      <c r="L1113" s="15">
        <v>5</v>
      </c>
      <c r="M1113" s="188">
        <v>176.5</v>
      </c>
      <c r="N1113" s="169" t="s">
        <v>11</v>
      </c>
    </row>
    <row r="1114" spans="1:14" x14ac:dyDescent="0.25">
      <c r="A1114" s="63" t="s">
        <v>8</v>
      </c>
      <c r="B1114" s="71" t="s">
        <v>2953</v>
      </c>
      <c r="C1114" s="59">
        <v>4058075844292</v>
      </c>
      <c r="D1114" s="95">
        <v>4058075692718</v>
      </c>
      <c r="E1114" s="96" t="s">
        <v>2954</v>
      </c>
      <c r="G1114" s="156" t="str">
        <f>HYPERLINK("https://ledvance.com/pt/product-datasheet/323854/307826","Ficha Técnica")</f>
        <v>Ficha Técnica</v>
      </c>
      <c r="H1114" s="15">
        <v>1</v>
      </c>
      <c r="I1114" s="163" t="s">
        <v>1767</v>
      </c>
      <c r="J1114" s="15" t="s">
        <v>1766</v>
      </c>
      <c r="K1114" s="163" t="s">
        <v>249</v>
      </c>
      <c r="L1114" s="15">
        <v>5</v>
      </c>
      <c r="M1114" s="188">
        <v>176.5</v>
      </c>
      <c r="N1114" s="169" t="s">
        <v>11</v>
      </c>
    </row>
    <row r="1115" spans="1:14" x14ac:dyDescent="0.25">
      <c r="A1115" s="63" t="s">
        <v>8</v>
      </c>
      <c r="B1115" s="71" t="s">
        <v>2955</v>
      </c>
      <c r="C1115" s="59">
        <v>4058075844346</v>
      </c>
      <c r="D1115" s="95">
        <v>4058075692855</v>
      </c>
      <c r="E1115" s="96" t="s">
        <v>2956</v>
      </c>
      <c r="G1115" s="156" t="str">
        <f>HYPERLINK("https://ledvance.com/pt/product-datasheet/323854/307836","Ficha Técnica")</f>
        <v>Ficha Técnica</v>
      </c>
      <c r="H1115" s="15">
        <v>1</v>
      </c>
      <c r="I1115" s="163" t="s">
        <v>1768</v>
      </c>
      <c r="J1115" s="15" t="s">
        <v>1766</v>
      </c>
      <c r="K1115" s="163" t="s">
        <v>249</v>
      </c>
      <c r="L1115" s="15">
        <v>5</v>
      </c>
      <c r="M1115" s="188">
        <v>176.5</v>
      </c>
      <c r="N1115" s="169" t="s">
        <v>11</v>
      </c>
    </row>
    <row r="1116" spans="1:14" x14ac:dyDescent="0.25">
      <c r="A1116" s="63" t="s">
        <v>8</v>
      </c>
      <c r="B1116" s="71" t="s">
        <v>2957</v>
      </c>
      <c r="C1116" s="59">
        <v>4058075844353</v>
      </c>
      <c r="D1116" s="95">
        <v>4058075692848</v>
      </c>
      <c r="E1116" s="96" t="s">
        <v>2958</v>
      </c>
      <c r="G1116" s="156" t="str">
        <f>HYPERLINK("https://ledvance.com/pt/product-datasheet/323854/307838","Ficha Técnica")</f>
        <v>Ficha Técnica</v>
      </c>
      <c r="H1116" s="15">
        <v>1</v>
      </c>
      <c r="I1116" s="163" t="s">
        <v>1769</v>
      </c>
      <c r="J1116" s="15" t="s">
        <v>1766</v>
      </c>
      <c r="K1116" s="163" t="s">
        <v>249</v>
      </c>
      <c r="L1116" s="15">
        <v>5</v>
      </c>
      <c r="M1116" s="188">
        <v>176.5</v>
      </c>
      <c r="N1116" s="169" t="s">
        <v>11</v>
      </c>
    </row>
    <row r="1117" spans="1:14" x14ac:dyDescent="0.25">
      <c r="A1117" s="63" t="s">
        <v>8</v>
      </c>
      <c r="B1117" s="71" t="s">
        <v>2959</v>
      </c>
      <c r="C1117" s="59">
        <v>4058075844308</v>
      </c>
      <c r="D1117" s="95" t="s">
        <v>2198</v>
      </c>
      <c r="E1117" s="96" t="s">
        <v>2960</v>
      </c>
      <c r="G1117" s="156" t="str">
        <f>HYPERLINK("https://ledvance.com/pt/product-datasheet/323854/307828","Ficha Técnica")</f>
        <v>Ficha Técnica</v>
      </c>
      <c r="H1117" s="15">
        <v>1</v>
      </c>
      <c r="I1117" s="163" t="s">
        <v>1770</v>
      </c>
      <c r="J1117" s="15" t="s">
        <v>1771</v>
      </c>
      <c r="K1117" s="163" t="s">
        <v>249</v>
      </c>
      <c r="L1117" s="15">
        <v>5</v>
      </c>
      <c r="M1117" s="188">
        <v>229.1</v>
      </c>
      <c r="N1117" s="169" t="s">
        <v>11</v>
      </c>
    </row>
    <row r="1118" spans="1:14" x14ac:dyDescent="0.25">
      <c r="A1118" s="63" t="s">
        <v>8</v>
      </c>
      <c r="B1118" s="71" t="s">
        <v>2961</v>
      </c>
      <c r="C1118" s="59">
        <v>4058075844315</v>
      </c>
      <c r="D1118" s="95" t="s">
        <v>2199</v>
      </c>
      <c r="E1118" s="96" t="s">
        <v>2962</v>
      </c>
      <c r="G1118" s="156" t="str">
        <f>HYPERLINK("https://ledvance.com/pt/product-datasheet/323854/307830","Ficha Técnica")</f>
        <v>Ficha Técnica</v>
      </c>
      <c r="H1118" s="15">
        <v>1</v>
      </c>
      <c r="I1118" s="163" t="s">
        <v>1772</v>
      </c>
      <c r="J1118" s="15" t="s">
        <v>1771</v>
      </c>
      <c r="K1118" s="163" t="s">
        <v>249</v>
      </c>
      <c r="L1118" s="15">
        <v>5</v>
      </c>
      <c r="M1118" s="188">
        <v>229.1</v>
      </c>
      <c r="N1118" s="169" t="s">
        <v>11</v>
      </c>
    </row>
    <row r="1119" spans="1:14" x14ac:dyDescent="0.25">
      <c r="A1119" s="63" t="s">
        <v>8</v>
      </c>
      <c r="B1119" s="71" t="s">
        <v>2963</v>
      </c>
      <c r="C1119" s="59">
        <v>4058075844360</v>
      </c>
      <c r="D1119" s="95" t="s">
        <v>2201</v>
      </c>
      <c r="E1119" s="96" t="s">
        <v>2964</v>
      </c>
      <c r="G1119" s="156" t="str">
        <f>HYPERLINK("https://ledvance.com/pt/product-datasheet/323854/307840","Ficha Técnica")</f>
        <v>Ficha Técnica</v>
      </c>
      <c r="H1119" s="15">
        <v>1</v>
      </c>
      <c r="I1119" s="163" t="s">
        <v>1770</v>
      </c>
      <c r="J1119" s="15" t="s">
        <v>1771</v>
      </c>
      <c r="K1119" s="163" t="s">
        <v>249</v>
      </c>
      <c r="L1119" s="15">
        <v>5</v>
      </c>
      <c r="M1119" s="188">
        <v>229.1</v>
      </c>
      <c r="N1119" s="169" t="s">
        <v>11</v>
      </c>
    </row>
    <row r="1120" spans="1:14" x14ac:dyDescent="0.25">
      <c r="A1120" s="63" t="s">
        <v>8</v>
      </c>
      <c r="B1120" s="71" t="s">
        <v>2965</v>
      </c>
      <c r="C1120" s="59">
        <v>4058075844377</v>
      </c>
      <c r="D1120" s="95" t="s">
        <v>2200</v>
      </c>
      <c r="E1120" s="96" t="s">
        <v>2966</v>
      </c>
      <c r="G1120" s="156" t="str">
        <f>HYPERLINK("https://ledvance.com/pt/product-datasheet/323854/307842","Ficha Técnica")</f>
        <v>Ficha Técnica</v>
      </c>
      <c r="H1120" s="15">
        <v>1</v>
      </c>
      <c r="I1120" s="163" t="s">
        <v>1770</v>
      </c>
      <c r="J1120" s="15" t="s">
        <v>1771</v>
      </c>
      <c r="K1120" s="163" t="s">
        <v>249</v>
      </c>
      <c r="L1120" s="15">
        <v>5</v>
      </c>
      <c r="M1120" s="188">
        <v>229.1</v>
      </c>
      <c r="N1120" s="169" t="s">
        <v>11</v>
      </c>
    </row>
    <row r="1121" spans="1:14" x14ac:dyDescent="0.25">
      <c r="A1121" s="63" t="s">
        <v>8</v>
      </c>
      <c r="B1121" s="71" t="s">
        <v>2967</v>
      </c>
      <c r="C1121" s="59">
        <v>4058075844322</v>
      </c>
      <c r="D1121" s="95">
        <v>4058075692831</v>
      </c>
      <c r="E1121" s="96" t="s">
        <v>2968</v>
      </c>
      <c r="G1121" s="156" t="str">
        <f>HYPERLINK("https://ledvance.com/pt/product-datasheet/323854/307832","Ficha Técnica")</f>
        <v>Ficha Técnica</v>
      </c>
      <c r="H1121" s="15">
        <v>1</v>
      </c>
      <c r="I1121" s="163" t="s">
        <v>1773</v>
      </c>
      <c r="J1121" s="15" t="s">
        <v>1774</v>
      </c>
      <c r="K1121" s="163" t="s">
        <v>249</v>
      </c>
      <c r="L1121" s="15">
        <v>5</v>
      </c>
      <c r="M1121" s="188">
        <v>272.39999999999998</v>
      </c>
      <c r="N1121" s="169" t="s">
        <v>11</v>
      </c>
    </row>
    <row r="1122" spans="1:14" x14ac:dyDescent="0.25">
      <c r="A1122" s="63" t="s">
        <v>8</v>
      </c>
      <c r="B1122" s="71" t="s">
        <v>2969</v>
      </c>
      <c r="C1122" s="59">
        <v>4058075844339</v>
      </c>
      <c r="D1122" s="114"/>
      <c r="E1122" s="115"/>
      <c r="G1122" s="156" t="str">
        <f>HYPERLINK("https://ledvance.com/pt/product-datasheet/323854/307834","Ficha Técnica")</f>
        <v>Ficha Técnica</v>
      </c>
      <c r="H1122" s="15">
        <v>1</v>
      </c>
      <c r="I1122" s="163" t="s">
        <v>1775</v>
      </c>
      <c r="J1122" s="15" t="s">
        <v>1774</v>
      </c>
      <c r="K1122" s="163" t="s">
        <v>249</v>
      </c>
      <c r="L1122" s="15">
        <v>5</v>
      </c>
      <c r="M1122" s="188">
        <v>272.39999999999998</v>
      </c>
      <c r="N1122" s="169" t="s">
        <v>11</v>
      </c>
    </row>
    <row r="1123" spans="1:14" x14ac:dyDescent="0.25">
      <c r="A1123" s="63" t="s">
        <v>8</v>
      </c>
      <c r="B1123" s="71" t="s">
        <v>2970</v>
      </c>
      <c r="C1123" s="59">
        <v>4058075844384</v>
      </c>
      <c r="D1123" s="95">
        <v>4058075692886</v>
      </c>
      <c r="E1123" s="96" t="s">
        <v>2971</v>
      </c>
      <c r="G1123" s="156" t="str">
        <f>HYPERLINK("https://ledvance.com/pt/product-datasheet/323854/307844","Ficha Técnica")</f>
        <v>Ficha Técnica</v>
      </c>
      <c r="H1123" s="15">
        <v>1</v>
      </c>
      <c r="I1123" s="163" t="s">
        <v>1773</v>
      </c>
      <c r="J1123" s="15" t="s">
        <v>1774</v>
      </c>
      <c r="K1123" s="163" t="s">
        <v>249</v>
      </c>
      <c r="L1123" s="15">
        <v>5</v>
      </c>
      <c r="M1123" s="188">
        <v>272.39999999999998</v>
      </c>
      <c r="N1123" s="169" t="s">
        <v>11</v>
      </c>
    </row>
    <row r="1124" spans="1:14" x14ac:dyDescent="0.25">
      <c r="A1124" s="63" t="s">
        <v>8</v>
      </c>
      <c r="B1124" s="71" t="s">
        <v>2972</v>
      </c>
      <c r="C1124" s="59">
        <v>4058075844391</v>
      </c>
      <c r="D1124" s="114"/>
      <c r="E1124" s="115"/>
      <c r="G1124" s="156" t="str">
        <f>HYPERLINK("https://ledvance.com/pt/product-datasheet/323854/307846","Ficha Técnica")</f>
        <v>Ficha Técnica</v>
      </c>
      <c r="H1124" s="15">
        <v>1</v>
      </c>
      <c r="I1124" s="163" t="s">
        <v>1773</v>
      </c>
      <c r="J1124" s="15" t="s">
        <v>1774</v>
      </c>
      <c r="K1124" s="163" t="s">
        <v>249</v>
      </c>
      <c r="L1124" s="15">
        <v>5</v>
      </c>
      <c r="M1124" s="188">
        <v>272.39999999999998</v>
      </c>
      <c r="N1124" s="169" t="s">
        <v>11</v>
      </c>
    </row>
    <row r="1125" spans="1:14" x14ac:dyDescent="0.25">
      <c r="A1125" s="66" t="s">
        <v>8</v>
      </c>
      <c r="B1125" s="69" t="s">
        <v>1332</v>
      </c>
      <c r="C1125" s="51"/>
      <c r="D1125" s="65"/>
      <c r="E1125" s="113"/>
      <c r="F1125" s="12"/>
      <c r="G1125" s="157"/>
      <c r="H1125" s="12"/>
      <c r="I1125" s="62"/>
      <c r="J1125" s="27"/>
      <c r="K1125" s="62"/>
      <c r="L1125" s="12"/>
      <c r="M1125" s="191"/>
      <c r="N1125" s="65"/>
    </row>
    <row r="1126" spans="1:14" x14ac:dyDescent="0.25">
      <c r="A1126" s="63" t="s">
        <v>8</v>
      </c>
      <c r="B1126" s="71" t="s">
        <v>2973</v>
      </c>
      <c r="C1126" s="59">
        <v>4058075844407</v>
      </c>
      <c r="D1126" s="95">
        <v>4058075543911</v>
      </c>
      <c r="E1126" s="96" t="s">
        <v>1362</v>
      </c>
      <c r="G1126" s="156" t="str">
        <f>HYPERLINK("https://ledvance.com/pt/product-datasheet/323857/307848","Ficha Técnica")</f>
        <v>Ficha Técnica</v>
      </c>
      <c r="H1126" s="15">
        <v>1</v>
      </c>
      <c r="I1126" s="163">
        <v>13275</v>
      </c>
      <c r="J1126" s="15">
        <v>75</v>
      </c>
      <c r="K1126" s="163" t="s">
        <v>249</v>
      </c>
      <c r="L1126" s="15">
        <v>5</v>
      </c>
      <c r="M1126" s="188">
        <v>229</v>
      </c>
      <c r="N1126" s="169" t="s">
        <v>11</v>
      </c>
    </row>
    <row r="1127" spans="1:14" x14ac:dyDescent="0.25">
      <c r="A1127" s="63" t="s">
        <v>8</v>
      </c>
      <c r="B1127" s="71" t="s">
        <v>2974</v>
      </c>
      <c r="C1127" s="59">
        <v>4058075844414</v>
      </c>
      <c r="D1127" s="95">
        <v>4058075543904</v>
      </c>
      <c r="E1127" s="96" t="s">
        <v>1363</v>
      </c>
      <c r="G1127" s="156" t="str">
        <f>HYPERLINK("https://ledvance.com/pt/product-datasheet/323857/307850","Ficha Técnica")</f>
        <v>Ficha Técnica</v>
      </c>
      <c r="H1127" s="15">
        <v>1</v>
      </c>
      <c r="I1127" s="163">
        <v>13500</v>
      </c>
      <c r="J1127" s="15">
        <v>75</v>
      </c>
      <c r="K1127" s="163" t="s">
        <v>249</v>
      </c>
      <c r="L1127" s="15">
        <v>5</v>
      </c>
      <c r="M1127" s="188">
        <v>229</v>
      </c>
      <c r="N1127" s="169" t="s">
        <v>11</v>
      </c>
    </row>
    <row r="1128" spans="1:14" x14ac:dyDescent="0.25">
      <c r="A1128" s="63" t="s">
        <v>8</v>
      </c>
      <c r="B1128" s="71" t="s">
        <v>2975</v>
      </c>
      <c r="C1128" s="59">
        <v>4058075844469</v>
      </c>
      <c r="D1128" s="93"/>
      <c r="E1128" s="61"/>
      <c r="G1128" s="156" t="str">
        <f>HYPERLINK("https://ledvance.com/pt/product-datasheet/323857/307860","Ficha Técnica")</f>
        <v>Ficha Técnica</v>
      </c>
      <c r="H1128" s="15">
        <v>1</v>
      </c>
      <c r="I1128" s="163">
        <v>13125</v>
      </c>
      <c r="J1128" s="15">
        <v>75</v>
      </c>
      <c r="K1128" s="163" t="s">
        <v>249</v>
      </c>
      <c r="L1128" s="15">
        <v>5</v>
      </c>
      <c r="M1128" s="188">
        <v>229</v>
      </c>
      <c r="N1128" s="169" t="s">
        <v>11</v>
      </c>
    </row>
    <row r="1129" spans="1:14" x14ac:dyDescent="0.25">
      <c r="A1129" s="63" t="s">
        <v>8</v>
      </c>
      <c r="B1129" s="71" t="s">
        <v>2976</v>
      </c>
      <c r="C1129" s="59">
        <v>4058075844476</v>
      </c>
      <c r="D1129" s="93"/>
      <c r="E1129" s="61"/>
      <c r="G1129" s="156" t="str">
        <f>HYPERLINK("https://ledvance.com/pt/product-datasheet/323857/307862","Ficha Técnica")</f>
        <v>Ficha Técnica</v>
      </c>
      <c r="H1129" s="15">
        <v>1</v>
      </c>
      <c r="I1129" s="163">
        <v>13200</v>
      </c>
      <c r="J1129" s="15">
        <v>75</v>
      </c>
      <c r="K1129" s="163" t="s">
        <v>249</v>
      </c>
      <c r="L1129" s="15">
        <v>5</v>
      </c>
      <c r="M1129" s="188">
        <v>229</v>
      </c>
      <c r="N1129" s="169" t="s">
        <v>11</v>
      </c>
    </row>
    <row r="1130" spans="1:14" x14ac:dyDescent="0.25">
      <c r="A1130" s="63" t="s">
        <v>8</v>
      </c>
      <c r="B1130" s="71" t="s">
        <v>2977</v>
      </c>
      <c r="C1130" s="59">
        <v>4058075844421</v>
      </c>
      <c r="D1130" s="95">
        <v>4058075543935</v>
      </c>
      <c r="E1130" s="96" t="s">
        <v>1364</v>
      </c>
      <c r="G1130" s="156" t="str">
        <f>HYPERLINK("https://ledvance.com/pt/product-datasheet/323857/307852","Ficha Técnica")</f>
        <v>Ficha Técnica</v>
      </c>
      <c r="H1130" s="15">
        <v>1</v>
      </c>
      <c r="I1130" s="163">
        <v>26400</v>
      </c>
      <c r="J1130" s="15">
        <v>150</v>
      </c>
      <c r="K1130" s="163" t="s">
        <v>249</v>
      </c>
      <c r="L1130" s="15">
        <v>5</v>
      </c>
      <c r="M1130" s="188">
        <v>281.60000000000002</v>
      </c>
      <c r="N1130" s="169" t="s">
        <v>11</v>
      </c>
    </row>
    <row r="1131" spans="1:14" x14ac:dyDescent="0.25">
      <c r="A1131" s="63" t="s">
        <v>8</v>
      </c>
      <c r="B1131" s="71" t="s">
        <v>2978</v>
      </c>
      <c r="C1131" s="59">
        <v>4058075844438</v>
      </c>
      <c r="D1131" s="95">
        <v>4058075543928</v>
      </c>
      <c r="E1131" s="96" t="s">
        <v>1365</v>
      </c>
      <c r="G1131" s="156" t="str">
        <f>HYPERLINK("https://ledvance.com/pt/product-datasheet/323857/307854","Ficha Técnica")</f>
        <v>Ficha Técnica</v>
      </c>
      <c r="H1131" s="15">
        <v>1</v>
      </c>
      <c r="I1131" s="163">
        <v>26550</v>
      </c>
      <c r="J1131" s="15">
        <v>150</v>
      </c>
      <c r="K1131" s="163" t="s">
        <v>249</v>
      </c>
      <c r="L1131" s="15">
        <v>5</v>
      </c>
      <c r="M1131" s="188">
        <v>281.60000000000002</v>
      </c>
      <c r="N1131" s="169" t="s">
        <v>11</v>
      </c>
    </row>
    <row r="1132" spans="1:14" x14ac:dyDescent="0.25">
      <c r="A1132" s="63" t="s">
        <v>8</v>
      </c>
      <c r="B1132" s="71" t="s">
        <v>2979</v>
      </c>
      <c r="C1132" s="59">
        <v>4058075844483</v>
      </c>
      <c r="D1132" s="93"/>
      <c r="E1132" s="61"/>
      <c r="G1132" s="156" t="str">
        <f>HYPERLINK("https://ledvance.com/pt/product-datasheet/323857/307864","Ficha Técnica")</f>
        <v>Ficha Técnica</v>
      </c>
      <c r="H1132" s="15">
        <v>1</v>
      </c>
      <c r="I1132" s="163">
        <v>26250</v>
      </c>
      <c r="J1132" s="15">
        <v>150</v>
      </c>
      <c r="K1132" s="163" t="s">
        <v>249</v>
      </c>
      <c r="L1132" s="15">
        <v>5</v>
      </c>
      <c r="M1132" s="188">
        <v>281.60000000000002</v>
      </c>
      <c r="N1132" s="169" t="s">
        <v>11</v>
      </c>
    </row>
    <row r="1133" spans="1:14" x14ac:dyDescent="0.25">
      <c r="A1133" s="63" t="s">
        <v>8</v>
      </c>
      <c r="B1133" s="74" t="s">
        <v>2980</v>
      </c>
      <c r="C1133" s="2">
        <v>4058075844490</v>
      </c>
      <c r="D1133" s="116" t="s">
        <v>1968</v>
      </c>
      <c r="E1133" s="117" t="s">
        <v>1941</v>
      </c>
      <c r="G1133" s="156" t="str">
        <f>HYPERLINK("https://ledvance.com/pt/product-datasheet/323857/307866","Ficha Técnica")</f>
        <v>Ficha Técnica</v>
      </c>
      <c r="H1133" s="15">
        <v>1</v>
      </c>
      <c r="I1133" s="163">
        <v>26250</v>
      </c>
      <c r="J1133" s="15">
        <v>150</v>
      </c>
      <c r="K1133" s="163" t="s">
        <v>249</v>
      </c>
      <c r="L1133" s="15">
        <v>5</v>
      </c>
      <c r="M1133" s="188">
        <v>281.60000000000002</v>
      </c>
      <c r="N1133" s="169" t="s">
        <v>11</v>
      </c>
    </row>
    <row r="1134" spans="1:14" x14ac:dyDescent="0.25">
      <c r="A1134" s="63" t="s">
        <v>8</v>
      </c>
      <c r="B1134" s="71" t="s">
        <v>2981</v>
      </c>
      <c r="C1134" s="59">
        <v>4058075844445</v>
      </c>
      <c r="D1134" s="95">
        <v>4058075543942</v>
      </c>
      <c r="E1134" s="96" t="s">
        <v>1366</v>
      </c>
      <c r="G1134" s="156" t="str">
        <f>HYPERLINK("https://ledvance.com/pt/product-datasheet/323857/307856","Ficha Técnica")</f>
        <v>Ficha Técnica</v>
      </c>
      <c r="H1134" s="15">
        <v>1</v>
      </c>
      <c r="I1134" s="163">
        <v>35200</v>
      </c>
      <c r="J1134" s="15">
        <v>200</v>
      </c>
      <c r="K1134" s="163" t="s">
        <v>249</v>
      </c>
      <c r="L1134" s="15">
        <v>5</v>
      </c>
      <c r="M1134" s="188">
        <v>324.89999999999998</v>
      </c>
      <c r="N1134" s="169" t="s">
        <v>11</v>
      </c>
    </row>
    <row r="1135" spans="1:14" x14ac:dyDescent="0.25">
      <c r="A1135" s="63" t="s">
        <v>8</v>
      </c>
      <c r="B1135" s="71" t="s">
        <v>2982</v>
      </c>
      <c r="C1135" s="59">
        <v>4058075844452</v>
      </c>
      <c r="D1135" s="93"/>
      <c r="E1135" s="61"/>
      <c r="G1135" s="156" t="str">
        <f>HYPERLINK("https://ledvance.com/pt/product-datasheet/323857/307858","Ficha Técnica")</f>
        <v>Ficha Técnica</v>
      </c>
      <c r="H1135" s="15">
        <v>1</v>
      </c>
      <c r="I1135" s="163">
        <v>36200</v>
      </c>
      <c r="J1135" s="15">
        <v>200</v>
      </c>
      <c r="K1135" s="163" t="s">
        <v>249</v>
      </c>
      <c r="L1135" s="15">
        <v>5</v>
      </c>
      <c r="M1135" s="188">
        <v>324.89999999999998</v>
      </c>
      <c r="N1135" s="169" t="s">
        <v>11</v>
      </c>
    </row>
    <row r="1136" spans="1:14" x14ac:dyDescent="0.25">
      <c r="A1136" s="63" t="s">
        <v>8</v>
      </c>
      <c r="B1136" s="71" t="s">
        <v>2983</v>
      </c>
      <c r="C1136" s="59">
        <v>4058075844506</v>
      </c>
      <c r="D1136" s="84"/>
      <c r="E1136" s="85"/>
      <c r="G1136" s="156" t="str">
        <f>HYPERLINK("https://ledvance.com/pt/product-datasheet/323857/307868","Ficha Técnica")</f>
        <v>Ficha Técnica</v>
      </c>
      <c r="H1136" s="15">
        <v>1</v>
      </c>
      <c r="I1136" s="163">
        <v>35000</v>
      </c>
      <c r="J1136" s="15">
        <v>200</v>
      </c>
      <c r="K1136" s="163" t="s">
        <v>249</v>
      </c>
      <c r="L1136" s="15">
        <v>5</v>
      </c>
      <c r="M1136" s="188">
        <v>324.89999999999998</v>
      </c>
      <c r="N1136" s="169" t="s">
        <v>11</v>
      </c>
    </row>
    <row r="1137" spans="1:14" x14ac:dyDescent="0.25">
      <c r="A1137" s="63" t="s">
        <v>8</v>
      </c>
      <c r="B1137" s="71" t="s">
        <v>2984</v>
      </c>
      <c r="C1137" s="59">
        <v>4058075844513</v>
      </c>
      <c r="D1137" s="84"/>
      <c r="E1137" s="85"/>
      <c r="G1137" s="156" t="str">
        <f>HYPERLINK("https://ledvance.com/pt/product-datasheet/323857/307870","Ficha Técnica")</f>
        <v>Ficha Técnica</v>
      </c>
      <c r="H1137" s="15">
        <v>1</v>
      </c>
      <c r="I1137" s="163">
        <v>35000</v>
      </c>
      <c r="J1137" s="15">
        <v>200</v>
      </c>
      <c r="K1137" s="163" t="s">
        <v>249</v>
      </c>
      <c r="L1137" s="15">
        <v>5</v>
      </c>
      <c r="M1137" s="188">
        <v>324.89999999999998</v>
      </c>
      <c r="N1137" s="169" t="s">
        <v>11</v>
      </c>
    </row>
    <row r="1138" spans="1:14" x14ac:dyDescent="0.25">
      <c r="A1138" s="66" t="s">
        <v>40</v>
      </c>
      <c r="B1138" s="69" t="s">
        <v>2113</v>
      </c>
      <c r="C1138" s="51"/>
      <c r="D1138" s="65"/>
      <c r="E1138" s="92"/>
      <c r="F1138" s="12"/>
      <c r="G1138" s="157"/>
      <c r="H1138" s="12"/>
      <c r="I1138" s="62"/>
      <c r="J1138" s="27"/>
      <c r="K1138" s="62"/>
      <c r="L1138" s="12"/>
      <c r="M1138" s="191"/>
      <c r="N1138" s="65"/>
    </row>
    <row r="1139" spans="1:14" x14ac:dyDescent="0.25">
      <c r="A1139" s="63" t="s">
        <v>40</v>
      </c>
      <c r="B1139" s="71" t="s">
        <v>1241</v>
      </c>
      <c r="C1139" s="59">
        <v>4058075844568</v>
      </c>
      <c r="D1139" s="84"/>
      <c r="E1139" s="85"/>
      <c r="G1139" s="156" t="str">
        <f>HYPERLINK("https://ledvance.com/pt/product-datasheet/323862/307878","Ficha Técnica")</f>
        <v>Ficha Técnica</v>
      </c>
      <c r="H1139" s="15">
        <v>2</v>
      </c>
      <c r="I1139" s="163"/>
      <c r="J1139" s="15"/>
      <c r="K1139" s="163"/>
      <c r="L1139" s="15">
        <v>5</v>
      </c>
      <c r="M1139" s="188">
        <v>35.6</v>
      </c>
      <c r="N1139" s="169" t="s">
        <v>11</v>
      </c>
    </row>
    <row r="1140" spans="1:14" x14ac:dyDescent="0.25">
      <c r="A1140" s="63" t="s">
        <v>40</v>
      </c>
      <c r="B1140" s="71" t="s">
        <v>1242</v>
      </c>
      <c r="C1140" s="59">
        <v>4058075844582</v>
      </c>
      <c r="D1140" s="84"/>
      <c r="E1140" s="85"/>
      <c r="G1140" s="156" t="str">
        <f>HYPERLINK("https://ledvance.com/pt/product-datasheet/323862/307881","Ficha Técnica")</f>
        <v>Ficha Técnica</v>
      </c>
      <c r="H1140" s="15">
        <v>2</v>
      </c>
      <c r="I1140" s="163"/>
      <c r="J1140" s="15"/>
      <c r="K1140" s="163"/>
      <c r="L1140" s="15">
        <v>5</v>
      </c>
      <c r="M1140" s="188">
        <v>37.9</v>
      </c>
      <c r="N1140" s="169" t="s">
        <v>11</v>
      </c>
    </row>
    <row r="1141" spans="1:14" x14ac:dyDescent="0.25">
      <c r="A1141" s="63" t="s">
        <v>40</v>
      </c>
      <c r="B1141" s="71" t="s">
        <v>1243</v>
      </c>
      <c r="C1141" s="59">
        <v>4058075844605</v>
      </c>
      <c r="D1141" s="84"/>
      <c r="E1141" s="85"/>
      <c r="G1141" s="156" t="str">
        <f>HYPERLINK("https://ledvance.com/pt/product-datasheet/323863/307884","Ficha Técnica")</f>
        <v>Ficha Técnica</v>
      </c>
      <c r="H1141" s="15">
        <v>2</v>
      </c>
      <c r="I1141" s="163"/>
      <c r="J1141" s="15"/>
      <c r="K1141" s="163"/>
      <c r="L1141" s="15">
        <v>5</v>
      </c>
      <c r="M1141" s="188">
        <v>90.4</v>
      </c>
      <c r="N1141" s="169" t="s">
        <v>11</v>
      </c>
    </row>
    <row r="1142" spans="1:14" x14ac:dyDescent="0.25">
      <c r="A1142" s="63" t="s">
        <v>40</v>
      </c>
      <c r="B1142" s="71" t="s">
        <v>1244</v>
      </c>
      <c r="C1142" s="59">
        <v>4058075844629</v>
      </c>
      <c r="D1142" s="84"/>
      <c r="E1142" s="85"/>
      <c r="G1142" s="156" t="str">
        <f>HYPERLINK("https://ledvance.com/pt/product-datasheet/323863/307887","Ficha Técnica")</f>
        <v>Ficha Técnica</v>
      </c>
      <c r="H1142" s="15">
        <v>2</v>
      </c>
      <c r="I1142" s="163"/>
      <c r="J1142" s="15"/>
      <c r="K1142" s="163"/>
      <c r="L1142" s="15">
        <v>5</v>
      </c>
      <c r="M1142" s="188">
        <v>103.3</v>
      </c>
      <c r="N1142" s="169" t="s">
        <v>11</v>
      </c>
    </row>
    <row r="1143" spans="1:14" x14ac:dyDescent="0.25">
      <c r="A1143" s="63" t="s">
        <v>40</v>
      </c>
      <c r="B1143" s="71" t="s">
        <v>1245</v>
      </c>
      <c r="C1143" s="59">
        <v>4058075844643</v>
      </c>
      <c r="D1143" s="84"/>
      <c r="E1143" s="85"/>
      <c r="G1143" s="156" t="str">
        <f>HYPERLINK("https://ledvance.com/pt/product-datasheet/323864/307890","Ficha Técnica")</f>
        <v>Ficha Técnica</v>
      </c>
      <c r="H1143" s="15">
        <v>10</v>
      </c>
      <c r="I1143" s="163"/>
      <c r="J1143" s="15"/>
      <c r="K1143" s="163"/>
      <c r="L1143" s="15">
        <v>5</v>
      </c>
      <c r="M1143" s="188">
        <v>22.4</v>
      </c>
      <c r="N1143" s="169" t="s">
        <v>11</v>
      </c>
    </row>
    <row r="1144" spans="1:14" x14ac:dyDescent="0.25">
      <c r="A1144" s="66" t="s">
        <v>8</v>
      </c>
      <c r="B1144" s="69" t="s">
        <v>271</v>
      </c>
      <c r="C1144" s="51"/>
      <c r="D1144" s="65"/>
      <c r="E1144" s="86"/>
      <c r="F1144" s="12"/>
      <c r="G1144" s="157"/>
      <c r="H1144" s="12"/>
      <c r="I1144" s="62"/>
      <c r="J1144" s="27"/>
      <c r="K1144" s="62"/>
      <c r="L1144" s="12"/>
      <c r="M1144" s="191"/>
      <c r="N1144" s="65"/>
    </row>
    <row r="1145" spans="1:14" x14ac:dyDescent="0.25">
      <c r="A1145" s="63" t="s">
        <v>8</v>
      </c>
      <c r="B1145" s="71" t="s">
        <v>2985</v>
      </c>
      <c r="C1145" s="2">
        <v>4058075708174</v>
      </c>
      <c r="D1145" s="84"/>
      <c r="E1145" s="85"/>
      <c r="F1145" s="16"/>
      <c r="G1145" s="156" t="str">
        <f>HYPERLINK("https://ledvance.com/pt/product-datasheet/196477/183369","Ficha Técnica")</f>
        <v>Ficha Técnica</v>
      </c>
      <c r="H1145" s="15">
        <v>1</v>
      </c>
      <c r="I1145" s="163">
        <v>10000</v>
      </c>
      <c r="J1145" s="15">
        <v>83</v>
      </c>
      <c r="K1145" s="163" t="s">
        <v>138</v>
      </c>
      <c r="L1145" s="15">
        <v>5</v>
      </c>
      <c r="M1145" s="188">
        <v>108.6</v>
      </c>
      <c r="N1145" s="169" t="s">
        <v>11</v>
      </c>
    </row>
    <row r="1146" spans="1:14" x14ac:dyDescent="0.25">
      <c r="A1146" s="63" t="s">
        <v>8</v>
      </c>
      <c r="B1146" s="71" t="s">
        <v>2986</v>
      </c>
      <c r="C1146" s="2">
        <v>4058075708211</v>
      </c>
      <c r="D1146" s="84"/>
      <c r="E1146" s="85"/>
      <c r="F1146" s="16"/>
      <c r="G1146" s="156" t="str">
        <f>HYPERLINK("https://ledvance.com/pt/product-datasheet/196477/183383","Ficha Técnica")</f>
        <v>Ficha Técnica</v>
      </c>
      <c r="H1146" s="15">
        <v>1</v>
      </c>
      <c r="I1146" s="163">
        <v>10000</v>
      </c>
      <c r="J1146" s="15">
        <v>83</v>
      </c>
      <c r="K1146" s="163" t="s">
        <v>138</v>
      </c>
      <c r="L1146" s="15">
        <v>5</v>
      </c>
      <c r="M1146" s="188">
        <v>108.6</v>
      </c>
      <c r="N1146" s="169" t="s">
        <v>11</v>
      </c>
    </row>
    <row r="1147" spans="1:14" x14ac:dyDescent="0.25">
      <c r="A1147" s="63" t="s">
        <v>8</v>
      </c>
      <c r="B1147" s="71" t="s">
        <v>2987</v>
      </c>
      <c r="C1147" s="2">
        <v>4058075708181</v>
      </c>
      <c r="D1147" s="84"/>
      <c r="E1147" s="85"/>
      <c r="F1147" s="16"/>
      <c r="G1147" s="156" t="str">
        <f>HYPERLINK("https://ledvance.com/pt/product-datasheet/196477/183373","Ficha Técnica")</f>
        <v>Ficha Técnica</v>
      </c>
      <c r="H1147" s="15">
        <v>1</v>
      </c>
      <c r="I1147" s="163">
        <v>16000</v>
      </c>
      <c r="J1147" s="15">
        <v>133</v>
      </c>
      <c r="K1147" s="163" t="s">
        <v>138</v>
      </c>
      <c r="L1147" s="15">
        <v>5</v>
      </c>
      <c r="M1147" s="188">
        <v>134.19999999999999</v>
      </c>
      <c r="N1147" s="169" t="s">
        <v>11</v>
      </c>
    </row>
    <row r="1148" spans="1:14" x14ac:dyDescent="0.25">
      <c r="A1148" s="63" t="s">
        <v>8</v>
      </c>
      <c r="B1148" s="71" t="s">
        <v>2988</v>
      </c>
      <c r="C1148" s="2">
        <v>4058075764453</v>
      </c>
      <c r="D1148" s="84"/>
      <c r="E1148" s="85"/>
      <c r="F1148" s="16"/>
      <c r="G1148" s="156" t="str">
        <f>HYPERLINK("https://ledvance.com/pt/product-datasheet/196477/205341","Ficha Técnica")</f>
        <v>Ficha Técnica</v>
      </c>
      <c r="H1148" s="15">
        <v>1</v>
      </c>
      <c r="I1148" s="163">
        <v>16000</v>
      </c>
      <c r="J1148" s="15">
        <v>133</v>
      </c>
      <c r="K1148" s="163" t="s">
        <v>138</v>
      </c>
      <c r="L1148" s="15">
        <v>5</v>
      </c>
      <c r="M1148" s="188">
        <v>134.1</v>
      </c>
      <c r="N1148" s="169" t="s">
        <v>11</v>
      </c>
    </row>
    <row r="1149" spans="1:14" x14ac:dyDescent="0.25">
      <c r="A1149" s="63" t="s">
        <v>8</v>
      </c>
      <c r="B1149" s="71" t="s">
        <v>2989</v>
      </c>
      <c r="C1149" s="2">
        <v>4058075708198</v>
      </c>
      <c r="D1149" s="84"/>
      <c r="E1149" s="85"/>
      <c r="F1149" s="16"/>
      <c r="G1149" s="156" t="str">
        <f>HYPERLINK("https://ledvance.com/pt/product-datasheet/196477/183376","Ficha Técnica")</f>
        <v>Ficha Técnica</v>
      </c>
      <c r="H1149" s="15">
        <v>1</v>
      </c>
      <c r="I1149" s="163">
        <v>20000</v>
      </c>
      <c r="J1149" s="15">
        <v>166</v>
      </c>
      <c r="K1149" s="163" t="s">
        <v>138</v>
      </c>
      <c r="L1149" s="15">
        <v>5</v>
      </c>
      <c r="M1149" s="188">
        <v>153.80000000000001</v>
      </c>
      <c r="N1149" s="169" t="s">
        <v>11</v>
      </c>
    </row>
    <row r="1150" spans="1:14" x14ac:dyDescent="0.25">
      <c r="A1150" s="63" t="s">
        <v>8</v>
      </c>
      <c r="B1150" s="71" t="s">
        <v>2990</v>
      </c>
      <c r="C1150" s="2">
        <v>4058075708228</v>
      </c>
      <c r="D1150" s="84"/>
      <c r="E1150" s="85"/>
      <c r="F1150" s="16"/>
      <c r="G1150" s="156" t="str">
        <f>HYPERLINK("https://ledvance.com/pt/product-datasheet/196477/183387","Ficha Técnica")</f>
        <v>Ficha Técnica</v>
      </c>
      <c r="H1150" s="15">
        <v>1</v>
      </c>
      <c r="I1150" s="163">
        <v>20000</v>
      </c>
      <c r="J1150" s="15">
        <v>166</v>
      </c>
      <c r="K1150" s="163" t="s">
        <v>138</v>
      </c>
      <c r="L1150" s="15">
        <v>5</v>
      </c>
      <c r="M1150" s="188">
        <v>153.80000000000001</v>
      </c>
      <c r="N1150" s="169" t="s">
        <v>11</v>
      </c>
    </row>
    <row r="1151" spans="1:14" x14ac:dyDescent="0.25">
      <c r="A1151" s="63" t="s">
        <v>8</v>
      </c>
      <c r="B1151" s="71" t="s">
        <v>2991</v>
      </c>
      <c r="C1151" s="2">
        <v>4058075708204</v>
      </c>
      <c r="D1151" s="84"/>
      <c r="E1151" s="85"/>
      <c r="F1151" s="16"/>
      <c r="G1151" s="156" t="str">
        <f>HYPERLINK("https://ledvance.com/pt/product-datasheet/196477/183380","Ficha Técnica")</f>
        <v>Ficha Técnica</v>
      </c>
      <c r="H1151" s="15">
        <v>1</v>
      </c>
      <c r="I1151" s="163">
        <v>27000</v>
      </c>
      <c r="J1151" s="15">
        <v>225</v>
      </c>
      <c r="K1151" s="163" t="s">
        <v>138</v>
      </c>
      <c r="L1151" s="15">
        <v>5</v>
      </c>
      <c r="M1151" s="188">
        <v>172.5</v>
      </c>
      <c r="N1151" s="169" t="s">
        <v>11</v>
      </c>
    </row>
    <row r="1152" spans="1:14" x14ac:dyDescent="0.25">
      <c r="A1152" s="63" t="s">
        <v>8</v>
      </c>
      <c r="B1152" s="71" t="s">
        <v>2992</v>
      </c>
      <c r="C1152" s="2">
        <v>4058075775138</v>
      </c>
      <c r="D1152" s="84"/>
      <c r="E1152" s="85"/>
      <c r="F1152" s="16"/>
      <c r="G1152" s="156" t="str">
        <f>HYPERLINK("https://ledvance.com/pt/product-datasheet/196477/208510","Ficha Técnica")</f>
        <v>Ficha Técnica</v>
      </c>
      <c r="H1152" s="15">
        <v>1</v>
      </c>
      <c r="I1152" s="163">
        <v>27000</v>
      </c>
      <c r="J1152" s="15">
        <v>225</v>
      </c>
      <c r="K1152" s="163" t="s">
        <v>138</v>
      </c>
      <c r="L1152" s="15">
        <v>5</v>
      </c>
      <c r="M1152" s="188">
        <v>172.4</v>
      </c>
      <c r="N1152" s="169" t="s">
        <v>11</v>
      </c>
    </row>
    <row r="1153" spans="1:14" x14ac:dyDescent="0.25">
      <c r="A1153" s="66" t="s">
        <v>40</v>
      </c>
      <c r="B1153" s="69" t="s">
        <v>272</v>
      </c>
      <c r="C1153" s="51"/>
      <c r="D1153" s="65"/>
      <c r="E1153" s="86"/>
      <c r="F1153" s="12"/>
      <c r="G1153" s="157"/>
      <c r="H1153" s="12"/>
      <c r="I1153" s="62"/>
      <c r="J1153" s="27"/>
      <c r="K1153" s="62"/>
      <c r="L1153" s="12"/>
      <c r="M1153" s="191"/>
      <c r="N1153" s="65"/>
    </row>
    <row r="1154" spans="1:14" x14ac:dyDescent="0.25">
      <c r="A1154" s="63" t="s">
        <v>40</v>
      </c>
      <c r="B1154" s="71" t="s">
        <v>2993</v>
      </c>
      <c r="C1154" s="2">
        <v>4058075715233</v>
      </c>
      <c r="D1154" s="84"/>
      <c r="E1154" s="85"/>
      <c r="F1154" s="17"/>
      <c r="G1154" s="156" t="str">
        <f>HYPERLINK("https://ledvance.com/pt/product-datasheet/196478/187261","Ficha Técnica")</f>
        <v>Ficha Técnica</v>
      </c>
      <c r="H1154" s="15">
        <v>2</v>
      </c>
      <c r="I1154" s="163"/>
      <c r="J1154" s="15"/>
      <c r="K1154" s="163"/>
      <c r="L1154" s="15">
        <v>5</v>
      </c>
      <c r="M1154" s="188">
        <v>35.1</v>
      </c>
      <c r="N1154" s="169" t="s">
        <v>11</v>
      </c>
    </row>
    <row r="1155" spans="1:14" x14ac:dyDescent="0.25">
      <c r="A1155" s="63" t="s">
        <v>40</v>
      </c>
      <c r="B1155" s="71" t="s">
        <v>2994</v>
      </c>
      <c r="C1155" s="2">
        <v>4058075715240</v>
      </c>
      <c r="D1155" s="84"/>
      <c r="E1155" s="85"/>
      <c r="F1155" s="17"/>
      <c r="G1155" s="156" t="str">
        <f>HYPERLINK("https://ledvance.com/pt/product-datasheet/196478/187265","Ficha Técnica")</f>
        <v>Ficha Técnica</v>
      </c>
      <c r="H1155" s="15">
        <v>2</v>
      </c>
      <c r="I1155" s="163"/>
      <c r="J1155" s="15"/>
      <c r="K1155" s="163"/>
      <c r="L1155" s="15">
        <v>5</v>
      </c>
      <c r="M1155" s="188">
        <v>58.2</v>
      </c>
      <c r="N1155" s="169" t="s">
        <v>11</v>
      </c>
    </row>
    <row r="1156" spans="1:14" x14ac:dyDescent="0.25">
      <c r="A1156" s="63" t="s">
        <v>40</v>
      </c>
      <c r="B1156" s="71" t="s">
        <v>2995</v>
      </c>
      <c r="C1156" s="2">
        <v>4058075715257</v>
      </c>
      <c r="D1156" s="84"/>
      <c r="E1156" s="85"/>
      <c r="F1156" s="17"/>
      <c r="G1156" s="156" t="str">
        <f>HYPERLINK("https://ledvance.com/pt/product-datasheet/196478/187269","Ficha Técnica")</f>
        <v>Ficha Técnica</v>
      </c>
      <c r="H1156" s="15">
        <v>2</v>
      </c>
      <c r="I1156" s="163"/>
      <c r="J1156" s="15"/>
      <c r="K1156" s="163"/>
      <c r="L1156" s="15">
        <v>5</v>
      </c>
      <c r="M1156" s="188">
        <v>61.7</v>
      </c>
      <c r="N1156" s="169" t="s">
        <v>11</v>
      </c>
    </row>
    <row r="1157" spans="1:14" x14ac:dyDescent="0.25">
      <c r="A1157" s="63" t="s">
        <v>40</v>
      </c>
      <c r="B1157" s="71" t="s">
        <v>2996</v>
      </c>
      <c r="C1157" s="2">
        <v>4058075715264</v>
      </c>
      <c r="D1157" s="84"/>
      <c r="E1157" s="85"/>
      <c r="F1157" s="17"/>
      <c r="G1157" s="156" t="str">
        <f>HYPERLINK("https://ledvance.com/pt/product-datasheet/196478/187273","Ficha Técnica")</f>
        <v>Ficha Técnica</v>
      </c>
      <c r="H1157" s="15">
        <v>2</v>
      </c>
      <c r="I1157" s="163"/>
      <c r="J1157" s="15"/>
      <c r="K1157" s="163"/>
      <c r="L1157" s="15">
        <v>5</v>
      </c>
      <c r="M1157" s="188">
        <v>68.5</v>
      </c>
      <c r="N1157" s="169" t="s">
        <v>11</v>
      </c>
    </row>
    <row r="1158" spans="1:14" x14ac:dyDescent="0.25">
      <c r="A1158" s="63" t="s">
        <v>40</v>
      </c>
      <c r="B1158" s="71" t="s">
        <v>273</v>
      </c>
      <c r="C1158" s="2">
        <v>4058075715271</v>
      </c>
      <c r="D1158" s="84"/>
      <c r="E1158" s="85"/>
      <c r="F1158" s="17"/>
      <c r="G1158" s="156" t="str">
        <f>HYPERLINK("https://ledvance.com/pt/product-datasheet/196479/187277","Ficha Técnica")</f>
        <v>Ficha Técnica</v>
      </c>
      <c r="H1158" s="15">
        <v>10</v>
      </c>
      <c r="I1158" s="163"/>
      <c r="J1158" s="15"/>
      <c r="K1158" s="163"/>
      <c r="L1158" s="15">
        <v>2</v>
      </c>
      <c r="M1158" s="188">
        <v>20.6</v>
      </c>
      <c r="N1158" s="169" t="s">
        <v>11</v>
      </c>
    </row>
    <row r="1159" spans="1:14" x14ac:dyDescent="0.25">
      <c r="A1159" s="63" t="s">
        <v>40</v>
      </c>
      <c r="B1159" s="71" t="s">
        <v>274</v>
      </c>
      <c r="C1159" s="2">
        <v>4058075715295</v>
      </c>
      <c r="D1159" s="84"/>
      <c r="E1159" s="85"/>
      <c r="F1159" s="17"/>
      <c r="G1159" s="156" t="str">
        <f>HYPERLINK("https://ledvance.com/pt/product-datasheet/196479/187283","Ficha Técnica")</f>
        <v>Ficha Técnica</v>
      </c>
      <c r="H1159" s="15">
        <v>10</v>
      </c>
      <c r="I1159" s="163"/>
      <c r="J1159" s="15"/>
      <c r="K1159" s="163"/>
      <c r="L1159" s="15">
        <v>2</v>
      </c>
      <c r="M1159" s="188">
        <v>20.6</v>
      </c>
      <c r="N1159" s="169" t="s">
        <v>11</v>
      </c>
    </row>
    <row r="1160" spans="1:14" x14ac:dyDescent="0.25">
      <c r="A1160" s="63" t="s">
        <v>40</v>
      </c>
      <c r="B1160" s="71" t="s">
        <v>275</v>
      </c>
      <c r="C1160" s="2">
        <v>4058075715318</v>
      </c>
      <c r="D1160" s="84"/>
      <c r="E1160" s="85"/>
      <c r="F1160" s="17"/>
      <c r="G1160" s="156" t="str">
        <f>HYPERLINK("https://ledvance.com/pt/product-datasheet/196479/187289","Ficha Técnica")</f>
        <v>Ficha Técnica</v>
      </c>
      <c r="H1160" s="15">
        <v>5</v>
      </c>
      <c r="I1160" s="163"/>
      <c r="J1160" s="15"/>
      <c r="K1160" s="163"/>
      <c r="L1160" s="15">
        <v>2</v>
      </c>
      <c r="M1160" s="188">
        <v>20.6</v>
      </c>
      <c r="N1160" s="169" t="s">
        <v>11</v>
      </c>
    </row>
    <row r="1161" spans="1:14" x14ac:dyDescent="0.25">
      <c r="A1161" s="63" t="s">
        <v>40</v>
      </c>
      <c r="B1161" s="71" t="s">
        <v>276</v>
      </c>
      <c r="C1161" s="2">
        <v>4058075715332</v>
      </c>
      <c r="D1161" s="84"/>
      <c r="E1161" s="85"/>
      <c r="F1161" s="17"/>
      <c r="G1161" s="156" t="str">
        <f>HYPERLINK("https://ledvance.com/pt/product-datasheet/196479/187295","Ficha Técnica")</f>
        <v>Ficha Técnica</v>
      </c>
      <c r="H1161" s="15">
        <v>5</v>
      </c>
      <c r="I1161" s="163"/>
      <c r="J1161" s="15"/>
      <c r="K1161" s="163"/>
      <c r="L1161" s="15">
        <v>2</v>
      </c>
      <c r="M1161" s="188">
        <v>20.6</v>
      </c>
      <c r="N1161" s="169" t="s">
        <v>11</v>
      </c>
    </row>
    <row r="1162" spans="1:14" x14ac:dyDescent="0.25">
      <c r="A1162" s="66" t="s">
        <v>8</v>
      </c>
      <c r="B1162" s="69" t="s">
        <v>2997</v>
      </c>
      <c r="C1162" s="51"/>
      <c r="D1162" s="65"/>
      <c r="E1162" s="86"/>
      <c r="F1162" s="12"/>
      <c r="G1162" s="157"/>
      <c r="H1162" s="12"/>
      <c r="I1162" s="62"/>
      <c r="J1162" s="27"/>
      <c r="K1162" s="62"/>
      <c r="L1162" s="12"/>
      <c r="M1162" s="191"/>
      <c r="N1162" s="65"/>
    </row>
    <row r="1163" spans="1:14" x14ac:dyDescent="0.25">
      <c r="A1163" s="63" t="s">
        <v>8</v>
      </c>
      <c r="B1163" s="77" t="s">
        <v>2998</v>
      </c>
      <c r="C1163" s="2">
        <v>4099854163654</v>
      </c>
      <c r="D1163" s="103"/>
      <c r="E1163" s="104"/>
      <c r="F1163" s="17"/>
      <c r="G1163" s="156" t="str">
        <f>HYPERLINK("https://ledvance.com/pt/product-datasheet/197853/266572","Ficha Técnica")</f>
        <v>Ficha Técnica</v>
      </c>
      <c r="H1163" s="15">
        <v>3</v>
      </c>
      <c r="I1163" s="163">
        <v>6510</v>
      </c>
      <c r="J1163" s="15">
        <v>42</v>
      </c>
      <c r="K1163" s="163" t="s">
        <v>277</v>
      </c>
      <c r="L1163" s="15">
        <v>5</v>
      </c>
      <c r="M1163" s="188">
        <v>182.5</v>
      </c>
      <c r="N1163" s="169" t="s">
        <v>11</v>
      </c>
    </row>
    <row r="1164" spans="1:14" x14ac:dyDescent="0.25">
      <c r="A1164" s="63" t="s">
        <v>8</v>
      </c>
      <c r="B1164" s="71" t="s">
        <v>2999</v>
      </c>
      <c r="C1164" s="2">
        <v>4058075676060</v>
      </c>
      <c r="D1164" s="84"/>
      <c r="E1164" s="85"/>
      <c r="F1164" s="17"/>
      <c r="G1164" s="156" t="str">
        <f>HYPERLINK("https://ledvance.com/pt/product-datasheet/197853/169255","Ficha Técnica")</f>
        <v>Ficha Técnica</v>
      </c>
      <c r="H1164" s="15">
        <v>3</v>
      </c>
      <c r="I1164" s="163">
        <v>6510</v>
      </c>
      <c r="J1164" s="15">
        <v>42</v>
      </c>
      <c r="K1164" s="163" t="s">
        <v>277</v>
      </c>
      <c r="L1164" s="15">
        <v>5</v>
      </c>
      <c r="M1164" s="188">
        <v>182.5</v>
      </c>
      <c r="N1164" s="169" t="s">
        <v>11</v>
      </c>
    </row>
    <row r="1165" spans="1:14" x14ac:dyDescent="0.25">
      <c r="A1165" s="63" t="s">
        <v>8</v>
      </c>
      <c r="B1165" s="71" t="s">
        <v>3000</v>
      </c>
      <c r="C1165" s="2">
        <v>4058075676084</v>
      </c>
      <c r="D1165" s="84"/>
      <c r="E1165" s="85"/>
      <c r="F1165" s="17"/>
      <c r="G1165" s="156" t="str">
        <f>HYPERLINK("https://ledvance.com/pt/product-datasheet/197853/169258","Ficha Técnica")</f>
        <v>Ficha Técnica</v>
      </c>
      <c r="H1165" s="15">
        <v>3</v>
      </c>
      <c r="I1165" s="163">
        <v>6510</v>
      </c>
      <c r="J1165" s="15">
        <v>42</v>
      </c>
      <c r="K1165" s="163" t="s">
        <v>277</v>
      </c>
      <c r="L1165" s="15">
        <v>5</v>
      </c>
      <c r="M1165" s="188">
        <v>182.5</v>
      </c>
      <c r="N1165" s="169" t="s">
        <v>11</v>
      </c>
    </row>
    <row r="1166" spans="1:14" x14ac:dyDescent="0.25">
      <c r="A1166" s="63" t="s">
        <v>8</v>
      </c>
      <c r="B1166" s="77" t="s">
        <v>3001</v>
      </c>
      <c r="C1166" s="2">
        <v>4099854163838</v>
      </c>
      <c r="D1166" s="103"/>
      <c r="E1166" s="104"/>
      <c r="F1166" s="17"/>
      <c r="G1166" s="156" t="str">
        <f>HYPERLINK("https://ledvance.com/pt/product-datasheet/197853/266577","Ficha Técnica")</f>
        <v>Ficha Técnica</v>
      </c>
      <c r="H1166" s="15">
        <v>3</v>
      </c>
      <c r="I1166" s="163">
        <v>6510</v>
      </c>
      <c r="J1166" s="15">
        <v>42</v>
      </c>
      <c r="K1166" s="163" t="s">
        <v>277</v>
      </c>
      <c r="L1166" s="15">
        <v>5</v>
      </c>
      <c r="M1166" s="188">
        <v>182.5</v>
      </c>
      <c r="N1166" s="169" t="s">
        <v>11</v>
      </c>
    </row>
    <row r="1167" spans="1:14" x14ac:dyDescent="0.25">
      <c r="A1167" s="63" t="s">
        <v>8</v>
      </c>
      <c r="B1167" s="77" t="s">
        <v>3002</v>
      </c>
      <c r="C1167" s="2">
        <v>4099854163876</v>
      </c>
      <c r="D1167" s="103"/>
      <c r="E1167" s="104"/>
      <c r="F1167" s="17"/>
      <c r="G1167" s="156" t="str">
        <f>HYPERLINK("https://ledvance.com/pt/product-datasheet/197853/266580","Ficha Técnica")</f>
        <v>Ficha Técnica</v>
      </c>
      <c r="H1167" s="15">
        <v>3</v>
      </c>
      <c r="I1167" s="163">
        <v>11315</v>
      </c>
      <c r="J1167" s="15">
        <v>73</v>
      </c>
      <c r="K1167" s="163" t="s">
        <v>277</v>
      </c>
      <c r="L1167" s="15">
        <v>5</v>
      </c>
      <c r="M1167" s="188">
        <v>228</v>
      </c>
      <c r="N1167" s="169" t="s">
        <v>11</v>
      </c>
    </row>
    <row r="1168" spans="1:14" x14ac:dyDescent="0.25">
      <c r="A1168" s="63" t="s">
        <v>8</v>
      </c>
      <c r="B1168" s="71" t="s">
        <v>3003</v>
      </c>
      <c r="C1168" s="2">
        <v>4058075676107</v>
      </c>
      <c r="D1168" s="84"/>
      <c r="E1168" s="85"/>
      <c r="F1168" s="17"/>
      <c r="G1168" s="156" t="str">
        <f>HYPERLINK("https://ledvance.com/pt/product-datasheet/197853/169261","Ficha Técnica")</f>
        <v>Ficha Técnica</v>
      </c>
      <c r="H1168" s="15">
        <v>3</v>
      </c>
      <c r="I1168" s="163">
        <v>11315</v>
      </c>
      <c r="J1168" s="15">
        <v>73</v>
      </c>
      <c r="K1168" s="163" t="s">
        <v>277</v>
      </c>
      <c r="L1168" s="15">
        <v>5</v>
      </c>
      <c r="M1168" s="188">
        <v>228</v>
      </c>
      <c r="N1168" s="169" t="s">
        <v>11</v>
      </c>
    </row>
    <row r="1169" spans="1:14" x14ac:dyDescent="0.25">
      <c r="A1169" s="63" t="s">
        <v>8</v>
      </c>
      <c r="B1169" s="71" t="s">
        <v>3004</v>
      </c>
      <c r="C1169" s="2">
        <v>4058075676121</v>
      </c>
      <c r="D1169" s="84"/>
      <c r="E1169" s="85"/>
      <c r="F1169" s="17"/>
      <c r="G1169" s="156" t="str">
        <f>HYPERLINK("https://ledvance.com/pt/product-datasheet/197853/169264","Ficha Técnica")</f>
        <v>Ficha Técnica</v>
      </c>
      <c r="H1169" s="15">
        <v>3</v>
      </c>
      <c r="I1169" s="163">
        <v>11315</v>
      </c>
      <c r="J1169" s="15">
        <v>73</v>
      </c>
      <c r="K1169" s="163" t="s">
        <v>277</v>
      </c>
      <c r="L1169" s="15">
        <v>5</v>
      </c>
      <c r="M1169" s="188">
        <v>228</v>
      </c>
      <c r="N1169" s="169" t="s">
        <v>11</v>
      </c>
    </row>
    <row r="1170" spans="1:14" x14ac:dyDescent="0.25">
      <c r="A1170" s="63" t="s">
        <v>8</v>
      </c>
      <c r="B1170" s="77" t="s">
        <v>3005</v>
      </c>
      <c r="C1170" s="2">
        <v>4099854164118</v>
      </c>
      <c r="D1170" s="103"/>
      <c r="E1170" s="104"/>
      <c r="F1170" s="17"/>
      <c r="G1170" s="156" t="str">
        <f>HYPERLINK("https://ledvance.com/pt/product-datasheet/197853/266585","Ficha Técnica")</f>
        <v>Ficha Técnica</v>
      </c>
      <c r="H1170" s="15">
        <v>3</v>
      </c>
      <c r="I1170" s="163">
        <v>11315</v>
      </c>
      <c r="J1170" s="15">
        <v>73</v>
      </c>
      <c r="K1170" s="163" t="s">
        <v>277</v>
      </c>
      <c r="L1170" s="15">
        <v>5</v>
      </c>
      <c r="M1170" s="188">
        <v>228</v>
      </c>
      <c r="N1170" s="169" t="s">
        <v>11</v>
      </c>
    </row>
    <row r="1171" spans="1:14" x14ac:dyDescent="0.25">
      <c r="A1171" s="63" t="s">
        <v>8</v>
      </c>
      <c r="B1171" s="77" t="s">
        <v>3006</v>
      </c>
      <c r="C1171" s="2">
        <v>4099854164248</v>
      </c>
      <c r="D1171" s="103"/>
      <c r="E1171" s="104"/>
      <c r="F1171" s="17"/>
      <c r="G1171" s="156" t="str">
        <f>HYPERLINK("https://ledvance.com/pt/product-datasheet/197855/266604","Ficha Técnica")</f>
        <v>Ficha Técnica</v>
      </c>
      <c r="H1171" s="15">
        <v>3</v>
      </c>
      <c r="I1171" s="163">
        <v>11680</v>
      </c>
      <c r="J1171" s="15">
        <v>73</v>
      </c>
      <c r="K1171" s="163" t="s">
        <v>277</v>
      </c>
      <c r="L1171" s="15">
        <v>5</v>
      </c>
      <c r="M1171" s="188">
        <v>255.8</v>
      </c>
      <c r="N1171" s="169" t="s">
        <v>11</v>
      </c>
    </row>
    <row r="1172" spans="1:14" x14ac:dyDescent="0.25">
      <c r="A1172" s="63" t="s">
        <v>8</v>
      </c>
      <c r="B1172" s="77" t="s">
        <v>3007</v>
      </c>
      <c r="C1172" s="2">
        <v>4099854164262</v>
      </c>
      <c r="D1172" s="103"/>
      <c r="E1172" s="104"/>
      <c r="F1172" s="17"/>
      <c r="G1172" s="156" t="str">
        <f>HYPERLINK("https://ledvance.com/pt/product-datasheet/197855/266607","Ficha Técnica")</f>
        <v>Ficha Técnica</v>
      </c>
      <c r="H1172" s="15">
        <v>3</v>
      </c>
      <c r="I1172" s="163">
        <v>11680</v>
      </c>
      <c r="J1172" s="15">
        <v>73</v>
      </c>
      <c r="K1172" s="163" t="s">
        <v>277</v>
      </c>
      <c r="L1172" s="15">
        <v>5</v>
      </c>
      <c r="M1172" s="188">
        <v>255.8</v>
      </c>
      <c r="N1172" s="169" t="s">
        <v>11</v>
      </c>
    </row>
    <row r="1173" spans="1:14" x14ac:dyDescent="0.25">
      <c r="A1173" s="63" t="s">
        <v>8</v>
      </c>
      <c r="B1173" s="77" t="s">
        <v>3008</v>
      </c>
      <c r="C1173" s="2">
        <v>4099854164286</v>
      </c>
      <c r="D1173" s="103"/>
      <c r="E1173" s="104"/>
      <c r="F1173" s="17"/>
      <c r="G1173" s="156" t="str">
        <f>HYPERLINK("https://ledvance.com/pt/product-datasheet/197855/266610","Ficha Técnica")</f>
        <v>Ficha Técnica</v>
      </c>
      <c r="H1173" s="15">
        <v>3</v>
      </c>
      <c r="I1173" s="163">
        <v>11680</v>
      </c>
      <c r="J1173" s="15">
        <v>73</v>
      </c>
      <c r="K1173" s="163" t="s">
        <v>277</v>
      </c>
      <c r="L1173" s="15">
        <v>5</v>
      </c>
      <c r="M1173" s="188">
        <v>255.8</v>
      </c>
      <c r="N1173" s="169" t="s">
        <v>11</v>
      </c>
    </row>
    <row r="1174" spans="1:14" x14ac:dyDescent="0.25">
      <c r="A1174" s="63" t="s">
        <v>8</v>
      </c>
      <c r="B1174" s="77" t="s">
        <v>3009</v>
      </c>
      <c r="C1174" s="2">
        <v>4099854164309</v>
      </c>
      <c r="D1174" s="103"/>
      <c r="E1174" s="104"/>
      <c r="F1174" s="17"/>
      <c r="G1174" s="156" t="str">
        <f>HYPERLINK("https://ledvance.com/pt/product-datasheet/197855/266613","Ficha Técnica")</f>
        <v>Ficha Técnica</v>
      </c>
      <c r="H1174" s="15">
        <v>3</v>
      </c>
      <c r="I1174" s="163">
        <v>11680</v>
      </c>
      <c r="J1174" s="15">
        <v>73</v>
      </c>
      <c r="K1174" s="163" t="s">
        <v>277</v>
      </c>
      <c r="L1174" s="15">
        <v>5</v>
      </c>
      <c r="M1174" s="188">
        <v>255.8</v>
      </c>
      <c r="N1174" s="169" t="s">
        <v>11</v>
      </c>
    </row>
    <row r="1175" spans="1:14" x14ac:dyDescent="0.25">
      <c r="A1175" s="63" t="s">
        <v>8</v>
      </c>
      <c r="B1175" s="71" t="s">
        <v>3010</v>
      </c>
      <c r="C1175" s="2">
        <v>4058075676244</v>
      </c>
      <c r="D1175" s="84"/>
      <c r="E1175" s="85"/>
      <c r="F1175" s="17"/>
      <c r="G1175" s="156" t="str">
        <f>HYPERLINK("https://ledvance.com/pt/product-datasheet/197855/169267","Ficha Técnica")</f>
        <v>Ficha Técnica</v>
      </c>
      <c r="H1175" s="15">
        <v>3</v>
      </c>
      <c r="I1175" s="163">
        <v>16800</v>
      </c>
      <c r="J1175" s="15">
        <v>105</v>
      </c>
      <c r="K1175" s="163" t="s">
        <v>277</v>
      </c>
      <c r="L1175" s="15">
        <v>5</v>
      </c>
      <c r="M1175" s="188">
        <v>263.10000000000002</v>
      </c>
      <c r="N1175" s="169" t="s">
        <v>11</v>
      </c>
    </row>
    <row r="1176" spans="1:14" x14ac:dyDescent="0.25">
      <c r="A1176" s="63" t="s">
        <v>8</v>
      </c>
      <c r="B1176" s="71" t="s">
        <v>3011</v>
      </c>
      <c r="C1176" s="2">
        <v>4058075676268</v>
      </c>
      <c r="D1176" s="84"/>
      <c r="E1176" s="85"/>
      <c r="F1176" s="17"/>
      <c r="G1176" s="156" t="str">
        <f>HYPERLINK("https://ledvance.com/pt/product-datasheet/197855/169270","Ficha Técnica")</f>
        <v>Ficha Técnica</v>
      </c>
      <c r="H1176" s="15">
        <v>3</v>
      </c>
      <c r="I1176" s="163">
        <v>16800</v>
      </c>
      <c r="J1176" s="15">
        <v>105</v>
      </c>
      <c r="K1176" s="163" t="s">
        <v>277</v>
      </c>
      <c r="L1176" s="15">
        <v>5</v>
      </c>
      <c r="M1176" s="188">
        <v>263.10000000000002</v>
      </c>
      <c r="N1176" s="169" t="s">
        <v>11</v>
      </c>
    </row>
    <row r="1177" spans="1:14" x14ac:dyDescent="0.25">
      <c r="A1177" s="63" t="s">
        <v>8</v>
      </c>
      <c r="B1177" s="71" t="s">
        <v>3012</v>
      </c>
      <c r="C1177" s="2">
        <v>4058075676282</v>
      </c>
      <c r="D1177" s="84"/>
      <c r="E1177" s="85"/>
      <c r="F1177" s="17"/>
      <c r="G1177" s="156" t="str">
        <f>HYPERLINK("https://ledvance.com/pt/product-datasheet/197855/169273","Ficha Técnica")</f>
        <v>Ficha Técnica</v>
      </c>
      <c r="H1177" s="15">
        <v>3</v>
      </c>
      <c r="I1177" s="163">
        <v>16800</v>
      </c>
      <c r="J1177" s="15">
        <v>105</v>
      </c>
      <c r="K1177" s="163" t="s">
        <v>277</v>
      </c>
      <c r="L1177" s="15">
        <v>5</v>
      </c>
      <c r="M1177" s="188">
        <v>263.10000000000002</v>
      </c>
      <c r="N1177" s="169" t="s">
        <v>11</v>
      </c>
    </row>
    <row r="1178" spans="1:14" x14ac:dyDescent="0.25">
      <c r="A1178" s="63" t="s">
        <v>8</v>
      </c>
      <c r="B1178" s="77" t="s">
        <v>3013</v>
      </c>
      <c r="C1178" s="2">
        <v>4099854163616</v>
      </c>
      <c r="D1178" s="103"/>
      <c r="E1178" s="104"/>
      <c r="F1178" s="17"/>
      <c r="G1178" s="156" t="str">
        <f>HYPERLINK("https://ledvance.com/pt/product-datasheet/197855/266620","Ficha Técnica")</f>
        <v>Ficha Técnica</v>
      </c>
      <c r="H1178" s="15">
        <v>3</v>
      </c>
      <c r="I1178" s="163">
        <v>16800</v>
      </c>
      <c r="J1178" s="15">
        <v>105</v>
      </c>
      <c r="K1178" s="163" t="s">
        <v>277</v>
      </c>
      <c r="L1178" s="15">
        <v>5</v>
      </c>
      <c r="M1178" s="188">
        <v>263.10000000000002</v>
      </c>
      <c r="N1178" s="169" t="s">
        <v>11</v>
      </c>
    </row>
    <row r="1179" spans="1:14" x14ac:dyDescent="0.25">
      <c r="A1179" s="63" t="s">
        <v>8</v>
      </c>
      <c r="B1179" s="77" t="s">
        <v>3014</v>
      </c>
      <c r="C1179" s="2">
        <v>4099854163630</v>
      </c>
      <c r="D1179" s="103"/>
      <c r="E1179" s="104"/>
      <c r="F1179" s="17"/>
      <c r="G1179" s="156" t="str">
        <f>HYPERLINK("https://ledvance.com/pt/product-datasheet/197855/266623","Ficha Técnica")</f>
        <v>Ficha Técnica</v>
      </c>
      <c r="H1179" s="15">
        <v>3</v>
      </c>
      <c r="I1179" s="163">
        <v>22000</v>
      </c>
      <c r="J1179" s="15">
        <v>140</v>
      </c>
      <c r="K1179" s="163" t="s">
        <v>277</v>
      </c>
      <c r="L1179" s="15">
        <v>5</v>
      </c>
      <c r="M1179" s="188">
        <v>306.3</v>
      </c>
      <c r="N1179" s="169" t="s">
        <v>11</v>
      </c>
    </row>
    <row r="1180" spans="1:14" x14ac:dyDescent="0.25">
      <c r="A1180" s="63" t="s">
        <v>8</v>
      </c>
      <c r="B1180" s="77" t="s">
        <v>3015</v>
      </c>
      <c r="C1180" s="2">
        <v>4099854163678</v>
      </c>
      <c r="D1180" s="103"/>
      <c r="E1180" s="104"/>
      <c r="F1180" s="17"/>
      <c r="G1180" s="156" t="str">
        <f>HYPERLINK("https://ledvance.com/pt/product-datasheet/197855/266626","Ficha Técnica")</f>
        <v>Ficha Técnica</v>
      </c>
      <c r="H1180" s="15">
        <v>3</v>
      </c>
      <c r="I1180" s="163">
        <v>22000</v>
      </c>
      <c r="J1180" s="15">
        <v>140</v>
      </c>
      <c r="K1180" s="163" t="s">
        <v>277</v>
      </c>
      <c r="L1180" s="15">
        <v>5</v>
      </c>
      <c r="M1180" s="188">
        <v>306.3</v>
      </c>
      <c r="N1180" s="169" t="s">
        <v>11</v>
      </c>
    </row>
    <row r="1181" spans="1:14" x14ac:dyDescent="0.25">
      <c r="A1181" s="63" t="s">
        <v>8</v>
      </c>
      <c r="B1181" s="77" t="s">
        <v>3016</v>
      </c>
      <c r="C1181" s="2">
        <v>4099854163692</v>
      </c>
      <c r="D1181" s="103"/>
      <c r="E1181" s="104"/>
      <c r="F1181" s="17"/>
      <c r="G1181" s="156" t="str">
        <f>HYPERLINK("https://ledvance.com/pt/product-datasheet/197855/266629","Ficha Técnica")</f>
        <v>Ficha Técnica</v>
      </c>
      <c r="H1181" s="15">
        <v>3</v>
      </c>
      <c r="I1181" s="163">
        <v>22000</v>
      </c>
      <c r="J1181" s="15">
        <v>140</v>
      </c>
      <c r="K1181" s="163" t="s">
        <v>277</v>
      </c>
      <c r="L1181" s="15">
        <v>5</v>
      </c>
      <c r="M1181" s="188">
        <v>306.3</v>
      </c>
      <c r="N1181" s="169" t="s">
        <v>11</v>
      </c>
    </row>
    <row r="1182" spans="1:14" x14ac:dyDescent="0.25">
      <c r="A1182" s="63" t="s">
        <v>8</v>
      </c>
      <c r="B1182" s="77" t="s">
        <v>3017</v>
      </c>
      <c r="C1182" s="2">
        <v>4099854163715</v>
      </c>
      <c r="D1182" s="103"/>
      <c r="E1182" s="104"/>
      <c r="F1182" s="17"/>
      <c r="G1182" s="156" t="str">
        <f>HYPERLINK("https://ledvance.com/pt/product-datasheet/197855/266632","Ficha Técnica")</f>
        <v>Ficha Técnica</v>
      </c>
      <c r="H1182" s="15">
        <v>3</v>
      </c>
      <c r="I1182" s="163">
        <v>22000</v>
      </c>
      <c r="J1182" s="15">
        <v>140</v>
      </c>
      <c r="K1182" s="163" t="s">
        <v>277</v>
      </c>
      <c r="L1182" s="15">
        <v>5</v>
      </c>
      <c r="M1182" s="188">
        <v>306.3</v>
      </c>
      <c r="N1182" s="169" t="s">
        <v>11</v>
      </c>
    </row>
    <row r="1183" spans="1:14" x14ac:dyDescent="0.25">
      <c r="A1183" s="66" t="s">
        <v>8</v>
      </c>
      <c r="B1183" s="69" t="s">
        <v>3018</v>
      </c>
      <c r="C1183" s="51"/>
      <c r="D1183" s="65"/>
      <c r="E1183" s="86"/>
      <c r="F1183" s="12"/>
      <c r="G1183" s="157"/>
      <c r="H1183" s="12"/>
      <c r="I1183" s="62"/>
      <c r="J1183" s="27"/>
      <c r="K1183" s="62"/>
      <c r="L1183" s="12"/>
      <c r="M1183" s="191"/>
      <c r="N1183" s="65"/>
    </row>
    <row r="1184" spans="1:14" x14ac:dyDescent="0.25">
      <c r="A1184" s="63" t="s">
        <v>8</v>
      </c>
      <c r="B1184" s="77" t="s">
        <v>3019</v>
      </c>
      <c r="C1184" s="2">
        <v>4099854164132</v>
      </c>
      <c r="D1184" s="103"/>
      <c r="E1184" s="104"/>
      <c r="F1184" s="13"/>
      <c r="G1184" s="156" t="str">
        <f>HYPERLINK("https://ledvance.com/pt/product-datasheet/279652/266588","Ficha Técnica")</f>
        <v>Ficha Técnica</v>
      </c>
      <c r="H1184" s="15">
        <v>3</v>
      </c>
      <c r="I1184" s="163">
        <v>6510</v>
      </c>
      <c r="J1184" s="15">
        <v>42</v>
      </c>
      <c r="K1184" s="163" t="s">
        <v>277</v>
      </c>
      <c r="L1184" s="15">
        <v>5</v>
      </c>
      <c r="M1184" s="188">
        <v>254.5</v>
      </c>
      <c r="N1184" s="169" t="s">
        <v>11</v>
      </c>
    </row>
    <row r="1185" spans="1:14" x14ac:dyDescent="0.25">
      <c r="A1185" s="63" t="s">
        <v>8</v>
      </c>
      <c r="B1185" s="71" t="s">
        <v>3020</v>
      </c>
      <c r="C1185" s="2">
        <v>4058075676145</v>
      </c>
      <c r="D1185" s="84"/>
      <c r="E1185" s="85"/>
      <c r="F1185" s="13"/>
      <c r="G1185" s="156" t="str">
        <f>HYPERLINK("https://ledvance.com/pt/product-datasheet/279652/169279","Ficha Técnica")</f>
        <v>Ficha Técnica</v>
      </c>
      <c r="H1185" s="15">
        <v>3</v>
      </c>
      <c r="I1185" s="163">
        <v>6510</v>
      </c>
      <c r="J1185" s="15">
        <v>42</v>
      </c>
      <c r="K1185" s="163" t="s">
        <v>277</v>
      </c>
      <c r="L1185" s="15">
        <v>5</v>
      </c>
      <c r="M1185" s="188">
        <v>254.5</v>
      </c>
      <c r="N1185" s="169" t="s">
        <v>11</v>
      </c>
    </row>
    <row r="1186" spans="1:14" x14ac:dyDescent="0.25">
      <c r="A1186" s="63" t="s">
        <v>8</v>
      </c>
      <c r="B1186" s="71" t="s">
        <v>3021</v>
      </c>
      <c r="C1186" s="2">
        <v>4058075676169</v>
      </c>
      <c r="D1186" s="84"/>
      <c r="E1186" s="85"/>
      <c r="F1186" s="13"/>
      <c r="G1186" s="156" t="str">
        <f>HYPERLINK("https://ledvance.com/pt/product-datasheet/279652/169282","Ficha Técnica")</f>
        <v>Ficha Técnica</v>
      </c>
      <c r="H1186" s="15">
        <v>3</v>
      </c>
      <c r="I1186" s="163">
        <v>6510</v>
      </c>
      <c r="J1186" s="15">
        <v>42</v>
      </c>
      <c r="K1186" s="163" t="s">
        <v>277</v>
      </c>
      <c r="L1186" s="15">
        <v>5</v>
      </c>
      <c r="M1186" s="188">
        <v>254.5</v>
      </c>
      <c r="N1186" s="169" t="s">
        <v>11</v>
      </c>
    </row>
    <row r="1187" spans="1:14" x14ac:dyDescent="0.25">
      <c r="A1187" s="63" t="s">
        <v>8</v>
      </c>
      <c r="B1187" s="77" t="s">
        <v>3022</v>
      </c>
      <c r="C1187" s="2">
        <v>4099854164156</v>
      </c>
      <c r="D1187" s="103"/>
      <c r="E1187" s="104"/>
      <c r="F1187" s="13"/>
      <c r="G1187" s="156" t="str">
        <f>HYPERLINK("https://ledvance.com/pt/product-datasheet/279652/266593","Ficha Técnica")</f>
        <v>Ficha Técnica</v>
      </c>
      <c r="H1187" s="15">
        <v>3</v>
      </c>
      <c r="I1187" s="163">
        <v>6510</v>
      </c>
      <c r="J1187" s="15">
        <v>42</v>
      </c>
      <c r="K1187" s="163" t="s">
        <v>277</v>
      </c>
      <c r="L1187" s="15">
        <v>5</v>
      </c>
      <c r="M1187" s="188">
        <v>254.5</v>
      </c>
      <c r="N1187" s="169" t="s">
        <v>11</v>
      </c>
    </row>
    <row r="1188" spans="1:14" x14ac:dyDescent="0.25">
      <c r="A1188" s="63" t="s">
        <v>8</v>
      </c>
      <c r="B1188" s="77" t="s">
        <v>3023</v>
      </c>
      <c r="C1188" s="2">
        <v>4099854164170</v>
      </c>
      <c r="D1188" s="103"/>
      <c r="E1188" s="104"/>
      <c r="F1188" s="13"/>
      <c r="G1188" s="156" t="str">
        <f>HYPERLINK("https://ledvance.com/pt/product-datasheet/279652/266596","Ficha Técnica")</f>
        <v>Ficha Técnica</v>
      </c>
      <c r="H1188" s="15">
        <v>3</v>
      </c>
      <c r="I1188" s="163">
        <v>11315</v>
      </c>
      <c r="J1188" s="15">
        <v>73</v>
      </c>
      <c r="K1188" s="163" t="s">
        <v>277</v>
      </c>
      <c r="L1188" s="15">
        <v>5</v>
      </c>
      <c r="M1188" s="188">
        <v>300</v>
      </c>
      <c r="N1188" s="169" t="s">
        <v>11</v>
      </c>
    </row>
    <row r="1189" spans="1:14" x14ac:dyDescent="0.25">
      <c r="A1189" s="63" t="s">
        <v>8</v>
      </c>
      <c r="B1189" s="71" t="s">
        <v>3024</v>
      </c>
      <c r="C1189" s="2">
        <v>4058075676206</v>
      </c>
      <c r="D1189" s="84"/>
      <c r="E1189" s="85"/>
      <c r="F1189" s="13"/>
      <c r="G1189" s="156" t="str">
        <f>HYPERLINK("https://ledvance.com/pt/product-datasheet/279652/169285","Ficha Técnica")</f>
        <v>Ficha Técnica</v>
      </c>
      <c r="H1189" s="15">
        <v>3</v>
      </c>
      <c r="I1189" s="163">
        <v>11315</v>
      </c>
      <c r="J1189" s="15">
        <v>73</v>
      </c>
      <c r="K1189" s="163" t="s">
        <v>277</v>
      </c>
      <c r="L1189" s="15">
        <v>5</v>
      </c>
      <c r="M1189" s="188">
        <v>300</v>
      </c>
      <c r="N1189" s="169" t="s">
        <v>11</v>
      </c>
    </row>
    <row r="1190" spans="1:14" x14ac:dyDescent="0.25">
      <c r="A1190" s="63" t="s">
        <v>8</v>
      </c>
      <c r="B1190" s="71" t="s">
        <v>3025</v>
      </c>
      <c r="C1190" s="2">
        <v>4058075676220</v>
      </c>
      <c r="D1190" s="84"/>
      <c r="E1190" s="85"/>
      <c r="F1190" s="13"/>
      <c r="G1190" s="156" t="str">
        <f>HYPERLINK("https://ledvance.com/pt/product-datasheet/279652/169288","Ficha Técnica")</f>
        <v>Ficha Técnica</v>
      </c>
      <c r="H1190" s="15">
        <v>3</v>
      </c>
      <c r="I1190" s="163">
        <v>11315</v>
      </c>
      <c r="J1190" s="15">
        <v>73</v>
      </c>
      <c r="K1190" s="163" t="s">
        <v>277</v>
      </c>
      <c r="L1190" s="15">
        <v>5</v>
      </c>
      <c r="M1190" s="188">
        <v>300</v>
      </c>
      <c r="N1190" s="169" t="s">
        <v>11</v>
      </c>
    </row>
    <row r="1191" spans="1:14" x14ac:dyDescent="0.25">
      <c r="A1191" s="63" t="s">
        <v>8</v>
      </c>
      <c r="B1191" s="77" t="s">
        <v>3026</v>
      </c>
      <c r="C1191" s="2">
        <v>4099854164224</v>
      </c>
      <c r="D1191" s="103"/>
      <c r="E1191" s="104"/>
      <c r="F1191" s="13"/>
      <c r="G1191" s="156" t="str">
        <f>HYPERLINK("https://ledvance.com/pt/product-datasheet/279652/266601","Ficha Técnica")</f>
        <v>Ficha Técnica</v>
      </c>
      <c r="H1191" s="15">
        <v>3</v>
      </c>
      <c r="I1191" s="163">
        <v>11315</v>
      </c>
      <c r="J1191" s="15">
        <v>73</v>
      </c>
      <c r="K1191" s="163" t="s">
        <v>277</v>
      </c>
      <c r="L1191" s="15">
        <v>5</v>
      </c>
      <c r="M1191" s="188">
        <v>300</v>
      </c>
      <c r="N1191" s="169" t="s">
        <v>11</v>
      </c>
    </row>
    <row r="1192" spans="1:14" x14ac:dyDescent="0.25">
      <c r="A1192" s="63" t="s">
        <v>8</v>
      </c>
      <c r="B1192" s="77" t="s">
        <v>3027</v>
      </c>
      <c r="C1192" s="2">
        <v>4099854163753</v>
      </c>
      <c r="D1192" s="103"/>
      <c r="E1192" s="104"/>
      <c r="F1192" s="13"/>
      <c r="G1192" s="156" t="str">
        <f>HYPERLINK("https://ledvance.com/pt/product-datasheet/279659/266635","Ficha Técnica")</f>
        <v>Ficha Técnica</v>
      </c>
      <c r="H1192" s="15">
        <v>3</v>
      </c>
      <c r="I1192" s="163">
        <v>11680</v>
      </c>
      <c r="J1192" s="15">
        <v>73</v>
      </c>
      <c r="K1192" s="163" t="s">
        <v>277</v>
      </c>
      <c r="L1192" s="15">
        <v>5</v>
      </c>
      <c r="M1192" s="188">
        <v>313.39999999999998</v>
      </c>
      <c r="N1192" s="169" t="s">
        <v>11</v>
      </c>
    </row>
    <row r="1193" spans="1:14" x14ac:dyDescent="0.25">
      <c r="A1193" s="63" t="s">
        <v>8</v>
      </c>
      <c r="B1193" s="77" t="s">
        <v>3028</v>
      </c>
      <c r="C1193" s="2">
        <v>4099854163791</v>
      </c>
      <c r="D1193" s="103"/>
      <c r="E1193" s="104"/>
      <c r="F1193" s="13"/>
      <c r="G1193" s="156" t="str">
        <f>HYPERLINK("https://ledvance.com/pt/product-datasheet/279659/266639","Ficha Técnica")</f>
        <v>Ficha Técnica</v>
      </c>
      <c r="H1193" s="15">
        <v>3</v>
      </c>
      <c r="I1193" s="163">
        <v>11680</v>
      </c>
      <c r="J1193" s="15">
        <v>73</v>
      </c>
      <c r="K1193" s="163" t="s">
        <v>277</v>
      </c>
      <c r="L1193" s="15">
        <v>5</v>
      </c>
      <c r="M1193" s="188">
        <v>313.39999999999998</v>
      </c>
      <c r="N1193" s="169" t="s">
        <v>11</v>
      </c>
    </row>
    <row r="1194" spans="1:14" x14ac:dyDescent="0.25">
      <c r="A1194" s="63" t="s">
        <v>8</v>
      </c>
      <c r="B1194" s="77" t="s">
        <v>3029</v>
      </c>
      <c r="C1194" s="2">
        <v>4099854163814</v>
      </c>
      <c r="D1194" s="103"/>
      <c r="E1194" s="104"/>
      <c r="F1194" s="13"/>
      <c r="G1194" s="156" t="str">
        <f>HYPERLINK("https://ledvance.com/pt/product-datasheet/279659/266642","Ficha Técnica")</f>
        <v>Ficha Técnica</v>
      </c>
      <c r="H1194" s="15">
        <v>3</v>
      </c>
      <c r="I1194" s="163">
        <v>11680</v>
      </c>
      <c r="J1194" s="15">
        <v>73</v>
      </c>
      <c r="K1194" s="163" t="s">
        <v>277</v>
      </c>
      <c r="L1194" s="15">
        <v>5</v>
      </c>
      <c r="M1194" s="188">
        <v>313.39999999999998</v>
      </c>
      <c r="N1194" s="169" t="s">
        <v>11</v>
      </c>
    </row>
    <row r="1195" spans="1:14" x14ac:dyDescent="0.25">
      <c r="A1195" s="63" t="s">
        <v>8</v>
      </c>
      <c r="B1195" s="77" t="s">
        <v>3030</v>
      </c>
      <c r="C1195" s="2">
        <v>4099854163852</v>
      </c>
      <c r="D1195" s="103"/>
      <c r="E1195" s="104"/>
      <c r="F1195" s="13"/>
      <c r="G1195" s="156" t="str">
        <f>HYPERLINK("https://ledvance.com/pt/product-datasheet/279659/266645","Ficha Técnica")</f>
        <v>Ficha Técnica</v>
      </c>
      <c r="H1195" s="15">
        <v>3</v>
      </c>
      <c r="I1195" s="163">
        <v>11680</v>
      </c>
      <c r="J1195" s="15">
        <v>73</v>
      </c>
      <c r="K1195" s="163" t="s">
        <v>277</v>
      </c>
      <c r="L1195" s="15">
        <v>5</v>
      </c>
      <c r="M1195" s="188">
        <v>313.39999999999998</v>
      </c>
      <c r="N1195" s="169" t="s">
        <v>11</v>
      </c>
    </row>
    <row r="1196" spans="1:14" x14ac:dyDescent="0.25">
      <c r="A1196" s="63" t="s">
        <v>8</v>
      </c>
      <c r="B1196" s="71" t="s">
        <v>3031</v>
      </c>
      <c r="C1196" s="2">
        <v>4058075676305</v>
      </c>
      <c r="D1196" s="84"/>
      <c r="E1196" s="85"/>
      <c r="F1196" s="13"/>
      <c r="G1196" s="156" t="str">
        <f>HYPERLINK("https://ledvance.com/pt/product-datasheet/279659/169291","Ficha Técnica")</f>
        <v>Ficha Técnica</v>
      </c>
      <c r="H1196" s="15">
        <v>3</v>
      </c>
      <c r="I1196" s="163">
        <v>16800</v>
      </c>
      <c r="J1196" s="15">
        <v>105</v>
      </c>
      <c r="K1196" s="163" t="s">
        <v>277</v>
      </c>
      <c r="L1196" s="15">
        <v>5</v>
      </c>
      <c r="M1196" s="188">
        <v>335</v>
      </c>
      <c r="N1196" s="169" t="s">
        <v>11</v>
      </c>
    </row>
    <row r="1197" spans="1:14" x14ac:dyDescent="0.25">
      <c r="A1197" s="63" t="s">
        <v>8</v>
      </c>
      <c r="B1197" s="71" t="s">
        <v>3032</v>
      </c>
      <c r="C1197" s="2">
        <v>4058075676329</v>
      </c>
      <c r="D1197" s="84"/>
      <c r="E1197" s="85"/>
      <c r="F1197" s="13"/>
      <c r="G1197" s="156" t="str">
        <f>HYPERLINK("https://ledvance.com/pt/product-datasheet/279659/169294","Ficha Técnica")</f>
        <v>Ficha Técnica</v>
      </c>
      <c r="H1197" s="15">
        <v>3</v>
      </c>
      <c r="I1197" s="163">
        <v>16800</v>
      </c>
      <c r="J1197" s="15">
        <v>105</v>
      </c>
      <c r="K1197" s="163" t="s">
        <v>277</v>
      </c>
      <c r="L1197" s="15">
        <v>5</v>
      </c>
      <c r="M1197" s="188">
        <v>335</v>
      </c>
      <c r="N1197" s="169" t="s">
        <v>11</v>
      </c>
    </row>
    <row r="1198" spans="1:14" x14ac:dyDescent="0.25">
      <c r="A1198" s="63" t="s">
        <v>8</v>
      </c>
      <c r="B1198" s="71" t="s">
        <v>3033</v>
      </c>
      <c r="C1198" s="2">
        <v>4058075676343</v>
      </c>
      <c r="D1198" s="84"/>
      <c r="E1198" s="85"/>
      <c r="F1198" s="13"/>
      <c r="G1198" s="156" t="str">
        <f>HYPERLINK("https://ledvance.com/pt/product-datasheet/279659/169297","Ficha Técnica")</f>
        <v>Ficha Técnica</v>
      </c>
      <c r="H1198" s="15">
        <v>3</v>
      </c>
      <c r="I1198" s="163">
        <v>16800</v>
      </c>
      <c r="J1198" s="15">
        <v>105</v>
      </c>
      <c r="K1198" s="163" t="s">
        <v>277</v>
      </c>
      <c r="L1198" s="15">
        <v>5</v>
      </c>
      <c r="M1198" s="188">
        <v>335</v>
      </c>
      <c r="N1198" s="169" t="s">
        <v>11</v>
      </c>
    </row>
    <row r="1199" spans="1:14" x14ac:dyDescent="0.25">
      <c r="A1199" s="63" t="s">
        <v>8</v>
      </c>
      <c r="B1199" s="77" t="s">
        <v>3034</v>
      </c>
      <c r="C1199" s="2">
        <v>4099854163975</v>
      </c>
      <c r="D1199" s="103"/>
      <c r="E1199" s="104"/>
      <c r="F1199" s="13"/>
      <c r="G1199" s="156" t="str">
        <f>HYPERLINK("https://ledvance.com/pt/product-datasheet/279659/266651","Ficha Técnica")</f>
        <v>Ficha Técnica</v>
      </c>
      <c r="H1199" s="15">
        <v>3</v>
      </c>
      <c r="I1199" s="163">
        <v>16800</v>
      </c>
      <c r="J1199" s="15">
        <v>105</v>
      </c>
      <c r="K1199" s="163" t="s">
        <v>277</v>
      </c>
      <c r="L1199" s="15">
        <v>5</v>
      </c>
      <c r="M1199" s="188">
        <v>335</v>
      </c>
      <c r="N1199" s="169" t="s">
        <v>11</v>
      </c>
    </row>
    <row r="1200" spans="1:14" x14ac:dyDescent="0.25">
      <c r="A1200" s="63" t="s">
        <v>8</v>
      </c>
      <c r="B1200" s="77" t="s">
        <v>3035</v>
      </c>
      <c r="C1200" s="2">
        <v>4099854163999</v>
      </c>
      <c r="D1200" s="103"/>
      <c r="E1200" s="104"/>
      <c r="F1200" s="13"/>
      <c r="G1200" s="156" t="str">
        <f>HYPERLINK("https://ledvance.com/pt/product-datasheet/279659/266654","Ficha Técnica")</f>
        <v>Ficha Técnica</v>
      </c>
      <c r="H1200" s="15">
        <v>3</v>
      </c>
      <c r="I1200" s="163">
        <v>22000</v>
      </c>
      <c r="J1200" s="15">
        <v>140</v>
      </c>
      <c r="K1200" s="163" t="s">
        <v>277</v>
      </c>
      <c r="L1200" s="15">
        <v>5</v>
      </c>
      <c r="M1200" s="188">
        <v>363.8</v>
      </c>
      <c r="N1200" s="169" t="s">
        <v>11</v>
      </c>
    </row>
    <row r="1201" spans="1:14" x14ac:dyDescent="0.25">
      <c r="A1201" s="63" t="s">
        <v>8</v>
      </c>
      <c r="B1201" s="77" t="s">
        <v>3036</v>
      </c>
      <c r="C1201" s="2">
        <v>4099854164019</v>
      </c>
      <c r="D1201" s="103"/>
      <c r="E1201" s="104"/>
      <c r="F1201" s="13"/>
      <c r="G1201" s="156" t="str">
        <f>HYPERLINK("https://ledvance.com/pt/product-datasheet/279659/266657","Ficha Técnica")</f>
        <v>Ficha Técnica</v>
      </c>
      <c r="H1201" s="15">
        <v>3</v>
      </c>
      <c r="I1201" s="163">
        <v>22000</v>
      </c>
      <c r="J1201" s="15">
        <v>140</v>
      </c>
      <c r="K1201" s="163" t="s">
        <v>277</v>
      </c>
      <c r="L1201" s="15">
        <v>5</v>
      </c>
      <c r="M1201" s="188">
        <v>363.8</v>
      </c>
      <c r="N1201" s="169" t="s">
        <v>11</v>
      </c>
    </row>
    <row r="1202" spans="1:14" x14ac:dyDescent="0.25">
      <c r="A1202" s="63" t="s">
        <v>8</v>
      </c>
      <c r="B1202" s="77" t="s">
        <v>3037</v>
      </c>
      <c r="C1202" s="2">
        <v>4099854164033</v>
      </c>
      <c r="D1202" s="103"/>
      <c r="E1202" s="104"/>
      <c r="F1202" s="13"/>
      <c r="G1202" s="156" t="str">
        <f>HYPERLINK("https://ledvance.com/pt/product-datasheet/279659/266660","Ficha Técnica")</f>
        <v>Ficha Técnica</v>
      </c>
      <c r="H1202" s="15">
        <v>3</v>
      </c>
      <c r="I1202" s="163">
        <v>22000</v>
      </c>
      <c r="J1202" s="15">
        <v>140</v>
      </c>
      <c r="K1202" s="163" t="s">
        <v>277</v>
      </c>
      <c r="L1202" s="15">
        <v>5</v>
      </c>
      <c r="M1202" s="188">
        <v>363.8</v>
      </c>
      <c r="N1202" s="169" t="s">
        <v>11</v>
      </c>
    </row>
    <row r="1203" spans="1:14" x14ac:dyDescent="0.25">
      <c r="A1203" s="63" t="s">
        <v>8</v>
      </c>
      <c r="B1203" s="77" t="s">
        <v>3038</v>
      </c>
      <c r="C1203" s="2">
        <v>4099854164071</v>
      </c>
      <c r="D1203" s="103"/>
      <c r="E1203" s="104"/>
      <c r="F1203" s="13"/>
      <c r="G1203" s="156" t="str">
        <f>HYPERLINK("https://ledvance.com/pt/product-datasheet/279659/266663","Ficha Técnica")</f>
        <v>Ficha Técnica</v>
      </c>
      <c r="H1203" s="15">
        <v>3</v>
      </c>
      <c r="I1203" s="163">
        <v>22000</v>
      </c>
      <c r="J1203" s="15">
        <v>140</v>
      </c>
      <c r="K1203" s="163" t="s">
        <v>277</v>
      </c>
      <c r="L1203" s="15">
        <v>5</v>
      </c>
      <c r="M1203" s="188">
        <v>363.8</v>
      </c>
      <c r="N1203" s="169" t="s">
        <v>11</v>
      </c>
    </row>
    <row r="1204" spans="1:14" x14ac:dyDescent="0.25">
      <c r="A1204" s="66" t="s">
        <v>40</v>
      </c>
      <c r="B1204" s="69" t="s">
        <v>3039</v>
      </c>
      <c r="C1204" s="51"/>
      <c r="D1204" s="65"/>
      <c r="E1204" s="86"/>
      <c r="F1204" s="12"/>
      <c r="G1204" s="157"/>
      <c r="H1204" s="12"/>
      <c r="I1204" s="62"/>
      <c r="J1204" s="27"/>
      <c r="K1204" s="62"/>
      <c r="L1204" s="12"/>
      <c r="M1204" s="191"/>
      <c r="N1204" s="65"/>
    </row>
    <row r="1205" spans="1:14" x14ac:dyDescent="0.25">
      <c r="A1205" s="63" t="s">
        <v>40</v>
      </c>
      <c r="B1205" s="71" t="s">
        <v>278</v>
      </c>
      <c r="C1205" s="2">
        <v>4058075693722</v>
      </c>
      <c r="D1205" s="103"/>
      <c r="E1205" s="104"/>
      <c r="F1205" s="13"/>
      <c r="G1205" s="156" t="str">
        <f>HYPERLINK("https://ledvance.com/pt/product-datasheet/197857/179527","Ficha Técnica")</f>
        <v>Ficha Técnica</v>
      </c>
      <c r="H1205" s="15">
        <v>30</v>
      </c>
      <c r="I1205" s="163"/>
      <c r="J1205" s="15"/>
      <c r="K1205" s="163"/>
      <c r="L1205" s="15">
        <v>2</v>
      </c>
      <c r="M1205" s="188">
        <v>26.1</v>
      </c>
      <c r="N1205" s="169" t="s">
        <v>11</v>
      </c>
    </row>
    <row r="1206" spans="1:14" x14ac:dyDescent="0.25">
      <c r="A1206" s="63" t="s">
        <v>40</v>
      </c>
      <c r="B1206" s="77" t="s">
        <v>279</v>
      </c>
      <c r="C1206" s="2">
        <v>4099854177705</v>
      </c>
      <c r="D1206" s="103"/>
      <c r="E1206" s="104"/>
      <c r="F1206" s="13"/>
      <c r="G1206" s="156" t="str">
        <f>HYPERLINK("https://ledvance.com/pt/product-datasheet/279895/269735","Ficha Técnica")</f>
        <v>Ficha Técnica</v>
      </c>
      <c r="H1206" s="15">
        <v>3</v>
      </c>
      <c r="I1206" s="163"/>
      <c r="J1206" s="15"/>
      <c r="K1206" s="163"/>
      <c r="L1206" s="15">
        <v>5</v>
      </c>
      <c r="M1206" s="188">
        <v>48.5</v>
      </c>
      <c r="N1206" s="169" t="s">
        <v>11</v>
      </c>
    </row>
    <row r="1207" spans="1:14" x14ac:dyDescent="0.25">
      <c r="A1207" s="63" t="s">
        <v>40</v>
      </c>
      <c r="B1207" s="77" t="s">
        <v>280</v>
      </c>
      <c r="C1207" s="2">
        <v>4099854177729</v>
      </c>
      <c r="D1207" s="103"/>
      <c r="E1207" s="104"/>
      <c r="F1207" s="13"/>
      <c r="G1207" s="156" t="str">
        <f>HYPERLINK("https://ledvance.com/pt/product-datasheet/279895/269738","Ficha Técnica")</f>
        <v>Ficha Técnica</v>
      </c>
      <c r="H1207" s="15">
        <v>3</v>
      </c>
      <c r="I1207" s="163"/>
      <c r="J1207" s="15"/>
      <c r="K1207" s="163"/>
      <c r="L1207" s="15">
        <v>5</v>
      </c>
      <c r="M1207" s="188">
        <v>58.2</v>
      </c>
      <c r="N1207" s="169" t="s">
        <v>11</v>
      </c>
    </row>
    <row r="1208" spans="1:14" x14ac:dyDescent="0.25">
      <c r="A1208" s="63" t="s">
        <v>40</v>
      </c>
      <c r="B1208" s="77" t="s">
        <v>281</v>
      </c>
      <c r="C1208" s="2">
        <v>4099854177934</v>
      </c>
      <c r="D1208" s="103"/>
      <c r="E1208" s="104"/>
      <c r="F1208" s="13"/>
      <c r="G1208" s="156" t="str">
        <f>HYPERLINK("https://ledvance.com/pt/product-datasheet/279896/269741","Ficha Técnica")</f>
        <v>Ficha Técnica</v>
      </c>
      <c r="H1208" s="15">
        <v>60</v>
      </c>
      <c r="I1208" s="163"/>
      <c r="J1208" s="15"/>
      <c r="K1208" s="163"/>
      <c r="L1208" s="15">
        <v>5</v>
      </c>
      <c r="M1208" s="188">
        <v>38.799999999999997</v>
      </c>
      <c r="N1208" s="169" t="s">
        <v>11</v>
      </c>
    </row>
    <row r="1209" spans="1:14" x14ac:dyDescent="0.25">
      <c r="A1209" s="66" t="s">
        <v>8</v>
      </c>
      <c r="B1209" s="69" t="s">
        <v>2106</v>
      </c>
      <c r="C1209" s="51"/>
      <c r="D1209" s="65"/>
      <c r="E1209" s="86"/>
      <c r="F1209" s="12"/>
      <c r="G1209" s="157"/>
      <c r="H1209" s="12"/>
      <c r="I1209" s="62"/>
      <c r="J1209" s="27"/>
      <c r="K1209" s="62"/>
      <c r="L1209" s="12"/>
      <c r="M1209" s="191"/>
      <c r="N1209" s="65"/>
    </row>
    <row r="1210" spans="1:14" x14ac:dyDescent="0.25">
      <c r="A1210" s="63" t="s">
        <v>8</v>
      </c>
      <c r="B1210" s="77" t="s">
        <v>3040</v>
      </c>
      <c r="C1210" s="2">
        <v>4099854182501</v>
      </c>
      <c r="D1210" s="103"/>
      <c r="E1210" s="61"/>
      <c r="F1210" s="16"/>
      <c r="G1210" s="156" t="str">
        <f>HYPERLINK("https://ledvance.com/pt/product-datasheet/299705/271016","Ficha Técnica")</f>
        <v>Ficha Técnica</v>
      </c>
      <c r="H1210" s="15" t="s">
        <v>2125</v>
      </c>
      <c r="I1210" s="163">
        <v>8100</v>
      </c>
      <c r="J1210" s="15">
        <v>60</v>
      </c>
      <c r="K1210" s="163" t="s">
        <v>1839</v>
      </c>
      <c r="L1210" s="15">
        <v>5</v>
      </c>
      <c r="M1210" s="188">
        <v>181.3</v>
      </c>
      <c r="N1210" s="169" t="s">
        <v>11</v>
      </c>
    </row>
    <row r="1211" spans="1:14" x14ac:dyDescent="0.25">
      <c r="A1211" s="63" t="s">
        <v>8</v>
      </c>
      <c r="B1211" s="77" t="s">
        <v>3041</v>
      </c>
      <c r="C1211" s="2">
        <v>4099854182525</v>
      </c>
      <c r="D1211" s="103"/>
      <c r="E1211" s="61"/>
      <c r="F1211" s="16"/>
      <c r="G1211" s="156" t="str">
        <f>HYPERLINK("https://ledvance.com/pt/product-datasheet/299705/271019","Ficha Técnica")</f>
        <v>Ficha Técnica</v>
      </c>
      <c r="H1211" s="15" t="s">
        <v>2125</v>
      </c>
      <c r="I1211" s="163">
        <v>8100</v>
      </c>
      <c r="J1211" s="15">
        <v>60</v>
      </c>
      <c r="K1211" s="163" t="s">
        <v>1839</v>
      </c>
      <c r="L1211" s="15">
        <v>5</v>
      </c>
      <c r="M1211" s="188">
        <v>181.3</v>
      </c>
      <c r="N1211" s="169" t="s">
        <v>11</v>
      </c>
    </row>
    <row r="1212" spans="1:14" x14ac:dyDescent="0.25">
      <c r="A1212" s="63" t="s">
        <v>8</v>
      </c>
      <c r="B1212" s="77" t="s">
        <v>3042</v>
      </c>
      <c r="C1212" s="2">
        <v>4099854182549</v>
      </c>
      <c r="D1212" s="103"/>
      <c r="E1212" s="61"/>
      <c r="F1212" s="16"/>
      <c r="G1212" s="156" t="str">
        <f>HYPERLINK("https://ledvance.com/pt/product-datasheet/299705/271022","Ficha Técnica")</f>
        <v>Ficha Técnica</v>
      </c>
      <c r="H1212" s="15" t="s">
        <v>2125</v>
      </c>
      <c r="I1212" s="163">
        <v>12825</v>
      </c>
      <c r="J1212" s="15">
        <v>95</v>
      </c>
      <c r="K1212" s="163" t="s">
        <v>1839</v>
      </c>
      <c r="L1212" s="15">
        <v>5</v>
      </c>
      <c r="M1212" s="188">
        <v>194</v>
      </c>
      <c r="N1212" s="169" t="s">
        <v>11</v>
      </c>
    </row>
    <row r="1213" spans="1:14" x14ac:dyDescent="0.25">
      <c r="A1213" s="63" t="s">
        <v>8</v>
      </c>
      <c r="B1213" s="77" t="s">
        <v>3043</v>
      </c>
      <c r="C1213" s="2">
        <v>4099854182563</v>
      </c>
      <c r="D1213" s="103"/>
      <c r="E1213" s="61"/>
      <c r="F1213" s="16"/>
      <c r="G1213" s="156" t="str">
        <f>HYPERLINK("https://ledvance.com/pt/product-datasheet/299705/271025","Ficha Técnica")</f>
        <v>Ficha Técnica</v>
      </c>
      <c r="H1213" s="15" t="s">
        <v>2125</v>
      </c>
      <c r="I1213" s="163">
        <v>12825</v>
      </c>
      <c r="J1213" s="15">
        <v>95</v>
      </c>
      <c r="K1213" s="163" t="s">
        <v>1839</v>
      </c>
      <c r="L1213" s="15">
        <v>5</v>
      </c>
      <c r="M1213" s="188">
        <v>194</v>
      </c>
      <c r="N1213" s="169" t="s">
        <v>11</v>
      </c>
    </row>
    <row r="1214" spans="1:14" x14ac:dyDescent="0.25">
      <c r="A1214" s="63" t="s">
        <v>8</v>
      </c>
      <c r="B1214" s="77" t="s">
        <v>3044</v>
      </c>
      <c r="C1214" s="2">
        <v>4099854182587</v>
      </c>
      <c r="D1214" s="103"/>
      <c r="E1214" s="61"/>
      <c r="F1214" s="16"/>
      <c r="G1214" s="156" t="str">
        <f>HYPERLINK("https://ledvance.com/pt/product-datasheet/299705/271028","Ficha Técnica")</f>
        <v>Ficha Técnica</v>
      </c>
      <c r="H1214" s="15" t="s">
        <v>2125</v>
      </c>
      <c r="I1214" s="163">
        <v>19575</v>
      </c>
      <c r="J1214" s="15">
        <v>145</v>
      </c>
      <c r="K1214" s="163" t="s">
        <v>1839</v>
      </c>
      <c r="L1214" s="15">
        <v>5</v>
      </c>
      <c r="M1214" s="188">
        <v>248.6</v>
      </c>
      <c r="N1214" s="169" t="s">
        <v>11</v>
      </c>
    </row>
    <row r="1215" spans="1:14" x14ac:dyDescent="0.25">
      <c r="A1215" s="63" t="s">
        <v>8</v>
      </c>
      <c r="B1215" s="77" t="s">
        <v>3045</v>
      </c>
      <c r="C1215" s="2">
        <v>4099854182600</v>
      </c>
      <c r="D1215" s="103"/>
      <c r="E1215" s="61"/>
      <c r="F1215" s="16"/>
      <c r="G1215" s="156" t="str">
        <f>HYPERLINK("https://ledvance.com/pt/product-datasheet/299705/271031","Ficha Técnica")</f>
        <v>Ficha Técnica</v>
      </c>
      <c r="H1215" s="15" t="s">
        <v>2125</v>
      </c>
      <c r="I1215" s="163">
        <v>19575</v>
      </c>
      <c r="J1215" s="15">
        <v>145</v>
      </c>
      <c r="K1215" s="163" t="s">
        <v>1839</v>
      </c>
      <c r="L1215" s="15">
        <v>5</v>
      </c>
      <c r="M1215" s="188">
        <v>248.6</v>
      </c>
      <c r="N1215" s="169" t="s">
        <v>11</v>
      </c>
    </row>
    <row r="1216" spans="1:14" x14ac:dyDescent="0.25">
      <c r="A1216" s="66" t="s">
        <v>8</v>
      </c>
      <c r="B1216" s="69" t="s">
        <v>2114</v>
      </c>
      <c r="C1216" s="51"/>
      <c r="D1216" s="65"/>
      <c r="E1216" s="86"/>
      <c r="F1216" s="12"/>
      <c r="G1216" s="157"/>
      <c r="H1216" s="12"/>
      <c r="I1216" s="62"/>
      <c r="J1216" s="27"/>
      <c r="K1216" s="62"/>
      <c r="L1216" s="12"/>
      <c r="M1216" s="191"/>
      <c r="N1216" s="65"/>
    </row>
    <row r="1217" spans="1:14" x14ac:dyDescent="0.25">
      <c r="A1217" s="63" t="s">
        <v>40</v>
      </c>
      <c r="B1217" s="77" t="s">
        <v>2147</v>
      </c>
      <c r="C1217" s="2">
        <v>4099854251450</v>
      </c>
      <c r="D1217" s="103"/>
      <c r="E1217" s="104"/>
      <c r="F1217" s="16"/>
      <c r="G1217" s="158"/>
      <c r="H1217" s="14"/>
      <c r="I1217" s="158"/>
      <c r="J1217" s="46"/>
      <c r="K1217" s="158"/>
      <c r="L1217" s="14"/>
      <c r="M1217" s="188">
        <v>45.3</v>
      </c>
      <c r="N1217" s="169" t="s">
        <v>11</v>
      </c>
    </row>
    <row r="1218" spans="1:14" x14ac:dyDescent="0.25">
      <c r="A1218" s="63" t="s">
        <v>40</v>
      </c>
      <c r="B1218" s="77" t="s">
        <v>2144</v>
      </c>
      <c r="C1218" s="2">
        <v>4099854194634</v>
      </c>
      <c r="D1218" s="103"/>
      <c r="E1218" s="104"/>
      <c r="F1218" s="13"/>
      <c r="G1218" s="158"/>
      <c r="H1218" s="14"/>
      <c r="I1218" s="158"/>
      <c r="J1218" s="46"/>
      <c r="K1218" s="158"/>
      <c r="L1218" s="14"/>
      <c r="M1218" s="188">
        <v>42</v>
      </c>
      <c r="N1218" s="169" t="s">
        <v>11</v>
      </c>
    </row>
    <row r="1219" spans="1:14" x14ac:dyDescent="0.25">
      <c r="A1219" s="63" t="s">
        <v>40</v>
      </c>
      <c r="B1219" s="77" t="s">
        <v>2146</v>
      </c>
      <c r="C1219" s="2">
        <v>4058075835931</v>
      </c>
      <c r="D1219" s="103"/>
      <c r="E1219" s="104"/>
      <c r="F1219" s="13"/>
      <c r="G1219" s="158"/>
      <c r="H1219" s="14"/>
      <c r="I1219" s="158"/>
      <c r="J1219" s="46"/>
      <c r="K1219" s="158"/>
      <c r="L1219" s="14"/>
      <c r="M1219" s="188">
        <v>32.4</v>
      </c>
      <c r="N1219" s="169" t="s">
        <v>11</v>
      </c>
    </row>
    <row r="1220" spans="1:14" x14ac:dyDescent="0.25">
      <c r="A1220" s="66" t="s">
        <v>8</v>
      </c>
      <c r="B1220" s="69" t="s">
        <v>1367</v>
      </c>
      <c r="C1220" s="51"/>
      <c r="D1220" s="65"/>
      <c r="E1220" s="86"/>
      <c r="F1220" s="12"/>
      <c r="G1220" s="157"/>
      <c r="H1220" s="12"/>
      <c r="I1220" s="62"/>
      <c r="J1220" s="27"/>
      <c r="K1220" s="62"/>
      <c r="L1220" s="12"/>
      <c r="M1220" s="191"/>
      <c r="N1220" s="65"/>
    </row>
    <row r="1221" spans="1:14" x14ac:dyDescent="0.25">
      <c r="A1221" s="63" t="s">
        <v>8</v>
      </c>
      <c r="B1221" s="77" t="s">
        <v>3046</v>
      </c>
      <c r="C1221" s="2">
        <v>4099854373152</v>
      </c>
      <c r="D1221" s="95">
        <v>4058075353619</v>
      </c>
      <c r="E1221" s="96" t="s">
        <v>1368</v>
      </c>
      <c r="F1221" s="22"/>
      <c r="G1221" s="156" t="str">
        <f>HYPERLINK("https://ledvance.com/pt/product-datasheet/336782/323922","Ficha Técnica")</f>
        <v>Ficha Técnica</v>
      </c>
      <c r="H1221" s="15">
        <v>1</v>
      </c>
      <c r="I1221" s="163" t="s">
        <v>1776</v>
      </c>
      <c r="J1221" s="15" t="s">
        <v>1777</v>
      </c>
      <c r="K1221" s="163" t="s">
        <v>249</v>
      </c>
      <c r="L1221" s="15">
        <v>5</v>
      </c>
      <c r="M1221" s="188">
        <v>226.5</v>
      </c>
      <c r="N1221" s="172" t="s">
        <v>11</v>
      </c>
    </row>
    <row r="1222" spans="1:14" x14ac:dyDescent="0.25">
      <c r="A1222" s="63" t="s">
        <v>8</v>
      </c>
      <c r="B1222" s="77" t="s">
        <v>3047</v>
      </c>
      <c r="C1222" s="2">
        <v>4099854373176</v>
      </c>
      <c r="D1222" s="95">
        <v>4058075353299</v>
      </c>
      <c r="E1222" s="96" t="s">
        <v>1369</v>
      </c>
      <c r="F1222" s="22"/>
      <c r="G1222" s="156" t="str">
        <f>HYPERLINK("https://ledvance.com/pt/product-datasheet/336783/323924","Ficha Técnica")</f>
        <v>Ficha Técnica</v>
      </c>
      <c r="H1222" s="15">
        <v>1</v>
      </c>
      <c r="I1222" s="163" t="s">
        <v>1778</v>
      </c>
      <c r="J1222" s="15" t="s">
        <v>1777</v>
      </c>
      <c r="K1222" s="163" t="s">
        <v>249</v>
      </c>
      <c r="L1222" s="15">
        <v>5</v>
      </c>
      <c r="M1222" s="188">
        <v>226.5</v>
      </c>
      <c r="N1222" s="172" t="s">
        <v>11</v>
      </c>
    </row>
    <row r="1223" spans="1:14" x14ac:dyDescent="0.25">
      <c r="A1223" s="63" t="s">
        <v>8</v>
      </c>
      <c r="B1223" s="77" t="s">
        <v>3048</v>
      </c>
      <c r="C1223" s="2">
        <v>4099854373190</v>
      </c>
      <c r="D1223" s="95">
        <v>4058075353626</v>
      </c>
      <c r="E1223" s="96" t="s">
        <v>1370</v>
      </c>
      <c r="F1223" s="22"/>
      <c r="G1223" s="156" t="str">
        <f>HYPERLINK("https://ledvance.com/pt/product-datasheet/336782/323926","Ficha Técnica")</f>
        <v>Ficha Técnica</v>
      </c>
      <c r="H1223" s="15">
        <v>1</v>
      </c>
      <c r="I1223" s="163" t="s">
        <v>1779</v>
      </c>
      <c r="J1223" s="15" t="s">
        <v>1777</v>
      </c>
      <c r="K1223" s="163" t="s">
        <v>249</v>
      </c>
      <c r="L1223" s="15">
        <v>5</v>
      </c>
      <c r="M1223" s="188">
        <v>226.5</v>
      </c>
      <c r="N1223" s="172" t="s">
        <v>11</v>
      </c>
    </row>
    <row r="1224" spans="1:14" x14ac:dyDescent="0.25">
      <c r="A1224" s="63" t="s">
        <v>8</v>
      </c>
      <c r="B1224" s="77" t="s">
        <v>3049</v>
      </c>
      <c r="C1224" s="2">
        <v>4099854373213</v>
      </c>
      <c r="D1224" s="95">
        <v>4058075353305</v>
      </c>
      <c r="E1224" s="96" t="s">
        <v>1371</v>
      </c>
      <c r="F1224" s="22"/>
      <c r="G1224" s="156" t="str">
        <f>HYPERLINK("https://ledvance.com/pt/product-datasheet/336783/323928","Ficha Técnica")</f>
        <v>Ficha Técnica</v>
      </c>
      <c r="H1224" s="15">
        <v>1</v>
      </c>
      <c r="I1224" s="163" t="s">
        <v>1780</v>
      </c>
      <c r="J1224" s="15" t="s">
        <v>1777</v>
      </c>
      <c r="K1224" s="163" t="s">
        <v>249</v>
      </c>
      <c r="L1224" s="15">
        <v>5</v>
      </c>
      <c r="M1224" s="188">
        <v>226.5</v>
      </c>
      <c r="N1224" s="172" t="s">
        <v>11</v>
      </c>
    </row>
    <row r="1225" spans="1:14" x14ac:dyDescent="0.25">
      <c r="A1225" s="63" t="s">
        <v>8</v>
      </c>
      <c r="B1225" s="77" t="s">
        <v>3050</v>
      </c>
      <c r="C1225" s="2">
        <v>4099854374074</v>
      </c>
      <c r="D1225" s="84"/>
      <c r="E1225" s="85"/>
      <c r="F1225" s="22"/>
      <c r="G1225" s="156" t="str">
        <f>HYPERLINK("https://ledvance.com/pt/product-datasheet/336782/324144","Ficha Técnica")</f>
        <v>Ficha Técnica</v>
      </c>
      <c r="H1225" s="15">
        <v>1</v>
      </c>
      <c r="I1225" s="163" t="s">
        <v>1781</v>
      </c>
      <c r="J1225" s="15" t="s">
        <v>1782</v>
      </c>
      <c r="K1225" s="163" t="s">
        <v>249</v>
      </c>
      <c r="L1225" s="15">
        <v>5</v>
      </c>
      <c r="M1225" s="188">
        <v>345.1</v>
      </c>
      <c r="N1225" s="172" t="s">
        <v>11</v>
      </c>
    </row>
    <row r="1226" spans="1:14" x14ac:dyDescent="0.25">
      <c r="A1226" s="63" t="s">
        <v>8</v>
      </c>
      <c r="B1226" s="77" t="s">
        <v>3051</v>
      </c>
      <c r="C1226" s="2">
        <v>4099854374081</v>
      </c>
      <c r="D1226" s="103"/>
      <c r="E1226" s="104"/>
      <c r="F1226" s="22"/>
      <c r="G1226" s="156" t="str">
        <f>HYPERLINK("https://ledvance.com/pt/product-datasheet/336783/324146","Ficha Técnica")</f>
        <v>Ficha Técnica</v>
      </c>
      <c r="H1226" s="15">
        <v>1</v>
      </c>
      <c r="I1226" s="163" t="s">
        <v>1783</v>
      </c>
      <c r="J1226" s="15" t="s">
        <v>1782</v>
      </c>
      <c r="K1226" s="163" t="s">
        <v>249</v>
      </c>
      <c r="L1226" s="15">
        <v>5</v>
      </c>
      <c r="M1226" s="188">
        <v>345.1</v>
      </c>
      <c r="N1226" s="172" t="s">
        <v>11</v>
      </c>
    </row>
    <row r="1227" spans="1:14" x14ac:dyDescent="0.25">
      <c r="A1227" s="63" t="s">
        <v>8</v>
      </c>
      <c r="B1227" s="77" t="s">
        <v>3052</v>
      </c>
      <c r="C1227" s="2">
        <v>4099854373237</v>
      </c>
      <c r="D1227" s="95">
        <v>4058075353633</v>
      </c>
      <c r="E1227" s="96" t="s">
        <v>1372</v>
      </c>
      <c r="F1227" s="22"/>
      <c r="G1227" s="156" t="str">
        <f>HYPERLINK("https://ledvance.com/pt/product-datasheet/336782/323930","Ficha Técnica")</f>
        <v>Ficha Técnica</v>
      </c>
      <c r="H1227" s="15">
        <v>1</v>
      </c>
      <c r="I1227" s="163" t="s">
        <v>1784</v>
      </c>
      <c r="J1227" s="15" t="s">
        <v>1782</v>
      </c>
      <c r="K1227" s="163" t="s">
        <v>249</v>
      </c>
      <c r="L1227" s="15">
        <v>5</v>
      </c>
      <c r="M1227" s="188">
        <v>345.1</v>
      </c>
      <c r="N1227" s="172" t="s">
        <v>11</v>
      </c>
    </row>
    <row r="1228" spans="1:14" x14ac:dyDescent="0.25">
      <c r="A1228" s="63" t="s">
        <v>8</v>
      </c>
      <c r="B1228" s="77" t="s">
        <v>3053</v>
      </c>
      <c r="C1228" s="2">
        <v>4099854373251</v>
      </c>
      <c r="D1228" s="95">
        <v>4058075353312</v>
      </c>
      <c r="E1228" s="96" t="s">
        <v>1373</v>
      </c>
      <c r="F1228" s="22"/>
      <c r="G1228" s="156" t="str">
        <f>HYPERLINK("https://ledvance.com/pt/product-datasheet/336783/323932","Ficha Técnica")</f>
        <v>Ficha Técnica</v>
      </c>
      <c r="H1228" s="15">
        <v>1</v>
      </c>
      <c r="I1228" s="163" t="s">
        <v>1785</v>
      </c>
      <c r="J1228" s="15" t="s">
        <v>1782</v>
      </c>
      <c r="K1228" s="163" t="s">
        <v>249</v>
      </c>
      <c r="L1228" s="15">
        <v>5</v>
      </c>
      <c r="M1228" s="188">
        <v>345.1</v>
      </c>
      <c r="N1228" s="172" t="s">
        <v>11</v>
      </c>
    </row>
    <row r="1229" spans="1:14" x14ac:dyDescent="0.25">
      <c r="A1229" s="63" t="s">
        <v>8</v>
      </c>
      <c r="B1229" s="77" t="s">
        <v>3054</v>
      </c>
      <c r="C1229" s="2">
        <v>4099854373275</v>
      </c>
      <c r="D1229" s="95">
        <v>4058075353688</v>
      </c>
      <c r="E1229" s="96" t="s">
        <v>1374</v>
      </c>
      <c r="F1229" s="22"/>
      <c r="G1229" s="156" t="str">
        <f>HYPERLINK("https://ledvance.com/pt/product-datasheet/336782/323934","Ficha Técnica")</f>
        <v>Ficha Técnica</v>
      </c>
      <c r="H1229" s="15">
        <v>1</v>
      </c>
      <c r="I1229" s="163" t="s">
        <v>1786</v>
      </c>
      <c r="J1229" s="15" t="s">
        <v>1782</v>
      </c>
      <c r="K1229" s="163" t="s">
        <v>249</v>
      </c>
      <c r="L1229" s="15">
        <v>5</v>
      </c>
      <c r="M1229" s="188">
        <v>345.1</v>
      </c>
      <c r="N1229" s="172" t="s">
        <v>11</v>
      </c>
    </row>
    <row r="1230" spans="1:14" x14ac:dyDescent="0.25">
      <c r="A1230" s="63" t="s">
        <v>8</v>
      </c>
      <c r="B1230" s="77" t="s">
        <v>3055</v>
      </c>
      <c r="C1230" s="2">
        <v>4099854373282</v>
      </c>
      <c r="D1230" s="95">
        <v>4058075353527</v>
      </c>
      <c r="E1230" s="96" t="s">
        <v>1375</v>
      </c>
      <c r="F1230" s="22"/>
      <c r="G1230" s="156" t="str">
        <f>HYPERLINK("https://ledvance.com/pt/product-datasheet/336783/323936","Ficha Técnica")</f>
        <v>Ficha Técnica</v>
      </c>
      <c r="H1230" s="15">
        <v>1</v>
      </c>
      <c r="I1230" s="163" t="s">
        <v>1787</v>
      </c>
      <c r="J1230" s="15" t="s">
        <v>1782</v>
      </c>
      <c r="K1230" s="163" t="s">
        <v>249</v>
      </c>
      <c r="L1230" s="15">
        <v>5</v>
      </c>
      <c r="M1230" s="188">
        <v>345.1</v>
      </c>
      <c r="N1230" s="172" t="s">
        <v>11</v>
      </c>
    </row>
    <row r="1231" spans="1:14" x14ac:dyDescent="0.25">
      <c r="A1231" s="63" t="s">
        <v>8</v>
      </c>
      <c r="B1231" s="77" t="s">
        <v>3056</v>
      </c>
      <c r="C1231" s="2">
        <v>4099854374104</v>
      </c>
      <c r="D1231" s="84"/>
      <c r="E1231" s="85"/>
      <c r="F1231" s="22"/>
      <c r="G1231" s="156" t="str">
        <f>HYPERLINK("https://ledvance.com/pt/product-datasheet/336786/324148","Ficha Técnica")</f>
        <v>Ficha Técnica</v>
      </c>
      <c r="H1231" s="15">
        <v>1</v>
      </c>
      <c r="I1231" s="163" t="s">
        <v>1788</v>
      </c>
      <c r="J1231" s="15" t="s">
        <v>1789</v>
      </c>
      <c r="K1231" s="163" t="s">
        <v>249</v>
      </c>
      <c r="L1231" s="15">
        <v>5</v>
      </c>
      <c r="M1231" s="188">
        <v>429.3</v>
      </c>
      <c r="N1231" s="172" t="s">
        <v>11</v>
      </c>
    </row>
    <row r="1232" spans="1:14" x14ac:dyDescent="0.25">
      <c r="A1232" s="63" t="s">
        <v>8</v>
      </c>
      <c r="B1232" s="77" t="s">
        <v>3057</v>
      </c>
      <c r="C1232" s="2">
        <v>4099854373305</v>
      </c>
      <c r="D1232" s="95">
        <v>4058075353695</v>
      </c>
      <c r="E1232" s="96" t="s">
        <v>1376</v>
      </c>
      <c r="F1232" s="22"/>
      <c r="G1232" s="156" t="str">
        <f>HYPERLINK("https://ledvance.com/pt/product-datasheet/336782/323939","Ficha Técnica")</f>
        <v>Ficha Técnica</v>
      </c>
      <c r="H1232" s="15">
        <v>1</v>
      </c>
      <c r="I1232" s="163" t="s">
        <v>1790</v>
      </c>
      <c r="J1232" s="15" t="s">
        <v>1789</v>
      </c>
      <c r="K1232" s="163" t="s">
        <v>249</v>
      </c>
      <c r="L1232" s="15">
        <v>5</v>
      </c>
      <c r="M1232" s="188">
        <v>429.3</v>
      </c>
      <c r="N1232" s="172" t="s">
        <v>11</v>
      </c>
    </row>
    <row r="1233" spans="1:14" x14ac:dyDescent="0.25">
      <c r="A1233" s="63" t="s">
        <v>8</v>
      </c>
      <c r="B1233" s="77" t="s">
        <v>3058</v>
      </c>
      <c r="C1233" s="2">
        <v>4099854373329</v>
      </c>
      <c r="D1233" s="95">
        <v>4058075353534</v>
      </c>
      <c r="E1233" s="96" t="s">
        <v>1377</v>
      </c>
      <c r="F1233" s="22"/>
      <c r="G1233" s="156" t="str">
        <f>HYPERLINK("https://ledvance.com/pt/product-datasheet/336783/323941","Ficha Técnica")</f>
        <v>Ficha Técnica</v>
      </c>
      <c r="H1233" s="15">
        <v>1</v>
      </c>
      <c r="I1233" s="163" t="s">
        <v>1791</v>
      </c>
      <c r="J1233" s="15" t="s">
        <v>1789</v>
      </c>
      <c r="K1233" s="163" t="s">
        <v>249</v>
      </c>
      <c r="L1233" s="15">
        <v>5</v>
      </c>
      <c r="M1233" s="188">
        <v>429.3</v>
      </c>
      <c r="N1233" s="172" t="s">
        <v>11</v>
      </c>
    </row>
    <row r="1234" spans="1:14" x14ac:dyDescent="0.25">
      <c r="A1234" s="63" t="s">
        <v>8</v>
      </c>
      <c r="B1234" s="77" t="s">
        <v>3059</v>
      </c>
      <c r="C1234" s="2">
        <v>4099854373350</v>
      </c>
      <c r="D1234" s="95">
        <v>4058075540989</v>
      </c>
      <c r="E1234" s="96" t="s">
        <v>1378</v>
      </c>
      <c r="F1234" s="22"/>
      <c r="G1234" s="156" t="str">
        <f>HYPERLINK("https://ledvance.com/pt/product-datasheet/336787/323944","Ficha Técnica")</f>
        <v>Ficha Técnica</v>
      </c>
      <c r="H1234" s="15">
        <v>1</v>
      </c>
      <c r="I1234" s="163" t="s">
        <v>1792</v>
      </c>
      <c r="J1234" s="15" t="s">
        <v>1789</v>
      </c>
      <c r="K1234" s="163" t="s">
        <v>249</v>
      </c>
      <c r="L1234" s="15">
        <v>5</v>
      </c>
      <c r="M1234" s="188">
        <v>429.3</v>
      </c>
      <c r="N1234" s="172" t="s">
        <v>11</v>
      </c>
    </row>
    <row r="1235" spans="1:14" x14ac:dyDescent="0.25">
      <c r="A1235" s="63" t="s">
        <v>8</v>
      </c>
      <c r="B1235" s="77" t="s">
        <v>3060</v>
      </c>
      <c r="C1235" s="2">
        <v>4099854373374</v>
      </c>
      <c r="D1235" s="95">
        <v>4058075353756</v>
      </c>
      <c r="E1235" s="96" t="s">
        <v>1379</v>
      </c>
      <c r="F1235" s="22"/>
      <c r="G1235" s="156" t="str">
        <f>HYPERLINK("https://ledvance.com/pt/product-datasheet/336786/323947","Ficha Técnica")</f>
        <v>Ficha Técnica</v>
      </c>
      <c r="H1235" s="15">
        <v>1</v>
      </c>
      <c r="I1235" s="163" t="s">
        <v>1792</v>
      </c>
      <c r="J1235" s="15" t="s">
        <v>1789</v>
      </c>
      <c r="K1235" s="163" t="s">
        <v>249</v>
      </c>
      <c r="L1235" s="15">
        <v>5</v>
      </c>
      <c r="M1235" s="188">
        <v>429.3</v>
      </c>
      <c r="N1235" s="172" t="s">
        <v>11</v>
      </c>
    </row>
    <row r="1236" spans="1:14" x14ac:dyDescent="0.25">
      <c r="A1236" s="63" t="s">
        <v>8</v>
      </c>
      <c r="B1236" s="77" t="s">
        <v>3061</v>
      </c>
      <c r="C1236" s="2">
        <v>4099854373398</v>
      </c>
      <c r="D1236" s="95">
        <v>4058075353701</v>
      </c>
      <c r="E1236" s="96" t="s">
        <v>1380</v>
      </c>
      <c r="F1236" s="22"/>
      <c r="G1236" s="156" t="str">
        <f>HYPERLINK("https://ledvance.com/pt/product-datasheet/336782/323949","Ficha Técnica")</f>
        <v>Ficha Técnica</v>
      </c>
      <c r="H1236" s="15">
        <v>1</v>
      </c>
      <c r="I1236" s="163" t="s">
        <v>1793</v>
      </c>
      <c r="J1236" s="15" t="s">
        <v>1789</v>
      </c>
      <c r="K1236" s="163" t="s">
        <v>249</v>
      </c>
      <c r="L1236" s="15">
        <v>5</v>
      </c>
      <c r="M1236" s="188">
        <v>429.3</v>
      </c>
      <c r="N1236" s="172" t="s">
        <v>11</v>
      </c>
    </row>
    <row r="1237" spans="1:14" x14ac:dyDescent="0.25">
      <c r="A1237" s="63" t="s">
        <v>8</v>
      </c>
      <c r="B1237" s="77" t="s">
        <v>3062</v>
      </c>
      <c r="C1237" s="2">
        <v>4099854373411</v>
      </c>
      <c r="D1237" s="95">
        <v>4058075353541</v>
      </c>
      <c r="E1237" s="96" t="s">
        <v>1381</v>
      </c>
      <c r="F1237" s="22"/>
      <c r="G1237" s="156" t="str">
        <f>HYPERLINK("https://ledvance.com/pt/product-datasheet/336783/323951","Ficha Técnica")</f>
        <v>Ficha Técnica</v>
      </c>
      <c r="H1237" s="15">
        <v>1</v>
      </c>
      <c r="I1237" s="163" t="s">
        <v>1792</v>
      </c>
      <c r="J1237" s="15" t="s">
        <v>1789</v>
      </c>
      <c r="K1237" s="163" t="s">
        <v>249</v>
      </c>
      <c r="L1237" s="15">
        <v>5</v>
      </c>
      <c r="M1237" s="188">
        <v>429.3</v>
      </c>
      <c r="N1237" s="172" t="s">
        <v>11</v>
      </c>
    </row>
    <row r="1238" spans="1:14" x14ac:dyDescent="0.25">
      <c r="A1238" s="63" t="s">
        <v>8</v>
      </c>
      <c r="B1238" s="77" t="s">
        <v>3063</v>
      </c>
      <c r="C1238" s="2">
        <v>4099854373428</v>
      </c>
      <c r="D1238" s="95">
        <v>4058075540996</v>
      </c>
      <c r="E1238" s="96" t="s">
        <v>1382</v>
      </c>
      <c r="F1238" s="22"/>
      <c r="G1238" s="156" t="str">
        <f>HYPERLINK("https://ledvance.com/pt/product-datasheet/336787/323953","Ficha Técnica")</f>
        <v>Ficha Técnica</v>
      </c>
      <c r="H1238" s="15">
        <v>1</v>
      </c>
      <c r="I1238" s="163" t="s">
        <v>1794</v>
      </c>
      <c r="J1238" s="15" t="s">
        <v>1789</v>
      </c>
      <c r="K1238" s="163" t="s">
        <v>249</v>
      </c>
      <c r="L1238" s="15">
        <v>5</v>
      </c>
      <c r="M1238" s="188">
        <v>429.3</v>
      </c>
      <c r="N1238" s="172" t="s">
        <v>11</v>
      </c>
    </row>
    <row r="1239" spans="1:14" x14ac:dyDescent="0.25">
      <c r="A1239" s="63" t="s">
        <v>8</v>
      </c>
      <c r="B1239" s="77" t="s">
        <v>3064</v>
      </c>
      <c r="C1239" s="2">
        <v>4099854373442</v>
      </c>
      <c r="D1239" s="95">
        <v>4058075353763</v>
      </c>
      <c r="E1239" s="96" t="s">
        <v>1383</v>
      </c>
      <c r="F1239" s="22"/>
      <c r="G1239" s="156" t="str">
        <f>HYPERLINK("https://ledvance.com/pt/product-datasheet/336786/323956","Ficha Técnica")</f>
        <v>Ficha Técnica</v>
      </c>
      <c r="H1239" s="15">
        <v>1</v>
      </c>
      <c r="I1239" s="163" t="s">
        <v>1794</v>
      </c>
      <c r="J1239" s="15" t="s">
        <v>1789</v>
      </c>
      <c r="K1239" s="163" t="s">
        <v>249</v>
      </c>
      <c r="L1239" s="15">
        <v>5</v>
      </c>
      <c r="M1239" s="188">
        <v>429.3</v>
      </c>
      <c r="N1239" s="172" t="s">
        <v>11</v>
      </c>
    </row>
    <row r="1240" spans="1:14" x14ac:dyDescent="0.25">
      <c r="A1240" s="63" t="s">
        <v>8</v>
      </c>
      <c r="B1240" s="77" t="s">
        <v>3065</v>
      </c>
      <c r="C1240" s="2">
        <v>4099854373466</v>
      </c>
      <c r="D1240" s="95">
        <v>4058075353718</v>
      </c>
      <c r="E1240" s="96" t="s">
        <v>1384</v>
      </c>
      <c r="F1240" s="22"/>
      <c r="G1240" s="156" t="str">
        <f>HYPERLINK("https://ledvance.com/pt/product-datasheet/336782/323958","Ficha Técnica")</f>
        <v>Ficha Técnica</v>
      </c>
      <c r="H1240" s="15">
        <v>1</v>
      </c>
      <c r="I1240" s="163" t="s">
        <v>1795</v>
      </c>
      <c r="J1240" s="15" t="s">
        <v>1796</v>
      </c>
      <c r="K1240" s="163" t="s">
        <v>249</v>
      </c>
      <c r="L1240" s="15">
        <v>5</v>
      </c>
      <c r="M1240" s="188">
        <v>571</v>
      </c>
      <c r="N1240" s="172" t="s">
        <v>11</v>
      </c>
    </row>
    <row r="1241" spans="1:14" x14ac:dyDescent="0.25">
      <c r="A1241" s="63" t="s">
        <v>8</v>
      </c>
      <c r="B1241" s="77" t="s">
        <v>3066</v>
      </c>
      <c r="C1241" s="2">
        <v>4099854373473</v>
      </c>
      <c r="D1241" s="95">
        <v>4058075353558</v>
      </c>
      <c r="E1241" s="96" t="s">
        <v>1385</v>
      </c>
      <c r="F1241" s="22"/>
      <c r="G1241" s="156" t="str">
        <f>HYPERLINK("https://ledvance.com/pt/product-datasheet/336783/323960","Ficha Técnica")</f>
        <v>Ficha Técnica</v>
      </c>
      <c r="H1241" s="15">
        <v>1</v>
      </c>
      <c r="I1241" s="163" t="s">
        <v>1797</v>
      </c>
      <c r="J1241" s="15" t="s">
        <v>1796</v>
      </c>
      <c r="K1241" s="163" t="s">
        <v>249</v>
      </c>
      <c r="L1241" s="15">
        <v>5</v>
      </c>
      <c r="M1241" s="188">
        <v>571</v>
      </c>
      <c r="N1241" s="172" t="s">
        <v>11</v>
      </c>
    </row>
    <row r="1242" spans="1:14" x14ac:dyDescent="0.25">
      <c r="A1242" s="63" t="s">
        <v>8</v>
      </c>
      <c r="B1242" s="77" t="s">
        <v>3067</v>
      </c>
      <c r="C1242" s="2">
        <v>4099854373480</v>
      </c>
      <c r="D1242" s="95">
        <v>4058075541009</v>
      </c>
      <c r="E1242" s="96" t="s">
        <v>1386</v>
      </c>
      <c r="F1242" s="22"/>
      <c r="G1242" s="156" t="str">
        <f>HYPERLINK("https://ledvance.com/pt/product-datasheet/336787/323962","Ficha Técnica")</f>
        <v>Ficha Técnica</v>
      </c>
      <c r="H1242" s="15">
        <v>1</v>
      </c>
      <c r="I1242" s="163" t="s">
        <v>1798</v>
      </c>
      <c r="J1242" s="15" t="s">
        <v>1796</v>
      </c>
      <c r="K1242" s="163" t="s">
        <v>249</v>
      </c>
      <c r="L1242" s="15">
        <v>5</v>
      </c>
      <c r="M1242" s="188">
        <v>571</v>
      </c>
      <c r="N1242" s="172" t="s">
        <v>11</v>
      </c>
    </row>
    <row r="1243" spans="1:14" x14ac:dyDescent="0.25">
      <c r="A1243" s="63" t="s">
        <v>8</v>
      </c>
      <c r="B1243" s="77" t="s">
        <v>3068</v>
      </c>
      <c r="C1243" s="2">
        <v>4099854373497</v>
      </c>
      <c r="D1243" s="95">
        <v>4058075353770</v>
      </c>
      <c r="E1243" s="96" t="s">
        <v>1387</v>
      </c>
      <c r="F1243" s="22"/>
      <c r="G1243" s="156" t="str">
        <f>HYPERLINK("https://ledvance.com/pt/product-datasheet/336786/323965","Ficha Técnica")</f>
        <v>Ficha Técnica</v>
      </c>
      <c r="H1243" s="15">
        <v>1</v>
      </c>
      <c r="I1243" s="163" t="s">
        <v>1798</v>
      </c>
      <c r="J1243" s="15" t="s">
        <v>1796</v>
      </c>
      <c r="K1243" s="163" t="s">
        <v>249</v>
      </c>
      <c r="L1243" s="15">
        <v>5</v>
      </c>
      <c r="M1243" s="188">
        <v>571</v>
      </c>
      <c r="N1243" s="172" t="s">
        <v>11</v>
      </c>
    </row>
    <row r="1244" spans="1:14" x14ac:dyDescent="0.25">
      <c r="A1244" s="63" t="s">
        <v>8</v>
      </c>
      <c r="B1244" s="77" t="s">
        <v>3069</v>
      </c>
      <c r="C1244" s="2">
        <v>4099854373510</v>
      </c>
      <c r="D1244" s="95">
        <v>4058075353725</v>
      </c>
      <c r="E1244" s="96" t="s">
        <v>1388</v>
      </c>
      <c r="F1244" s="22"/>
      <c r="G1244" s="156" t="str">
        <f>HYPERLINK("https://ledvance.com/pt/product-datasheet/336782/323967","Ficha Técnica")</f>
        <v>Ficha Técnica</v>
      </c>
      <c r="H1244" s="15">
        <v>1</v>
      </c>
      <c r="I1244" s="163" t="s">
        <v>1799</v>
      </c>
      <c r="J1244" s="15" t="s">
        <v>1796</v>
      </c>
      <c r="K1244" s="163" t="s">
        <v>249</v>
      </c>
      <c r="L1244" s="15">
        <v>5</v>
      </c>
      <c r="M1244" s="188">
        <v>571</v>
      </c>
      <c r="N1244" s="172" t="s">
        <v>11</v>
      </c>
    </row>
    <row r="1245" spans="1:14" x14ac:dyDescent="0.25">
      <c r="A1245" s="63" t="s">
        <v>8</v>
      </c>
      <c r="B1245" s="77" t="s">
        <v>3070</v>
      </c>
      <c r="C1245" s="2">
        <v>4099854373541</v>
      </c>
      <c r="D1245" s="95">
        <v>4058075353565</v>
      </c>
      <c r="E1245" s="96" t="s">
        <v>1389</v>
      </c>
      <c r="F1245" s="22"/>
      <c r="G1245" s="156" t="str">
        <f>HYPERLINK("https://ledvance.com/pt/product-datasheet/336783/323969","Ficha Técnica")</f>
        <v>Ficha Técnica</v>
      </c>
      <c r="H1245" s="15">
        <v>1</v>
      </c>
      <c r="I1245" s="163" t="s">
        <v>1800</v>
      </c>
      <c r="J1245" s="15" t="s">
        <v>1796</v>
      </c>
      <c r="K1245" s="163" t="s">
        <v>249</v>
      </c>
      <c r="L1245" s="15">
        <v>5</v>
      </c>
      <c r="M1245" s="188">
        <v>571</v>
      </c>
      <c r="N1245" s="172" t="s">
        <v>11</v>
      </c>
    </row>
    <row r="1246" spans="1:14" x14ac:dyDescent="0.25">
      <c r="A1246" s="63" t="s">
        <v>8</v>
      </c>
      <c r="B1246" s="77" t="s">
        <v>3071</v>
      </c>
      <c r="C1246" s="2">
        <v>4099854373565</v>
      </c>
      <c r="D1246" s="95">
        <v>4058075541016</v>
      </c>
      <c r="E1246" s="96" t="s">
        <v>1390</v>
      </c>
      <c r="F1246" s="22"/>
      <c r="G1246" s="156" t="str">
        <f>HYPERLINK("https://ledvance.com/pt/product-datasheet/336787/323972","Ficha Técnica")</f>
        <v>Ficha Técnica</v>
      </c>
      <c r="H1246" s="15">
        <v>1</v>
      </c>
      <c r="I1246" s="163" t="s">
        <v>1801</v>
      </c>
      <c r="J1246" s="15" t="s">
        <v>1796</v>
      </c>
      <c r="K1246" s="163" t="s">
        <v>249</v>
      </c>
      <c r="L1246" s="15">
        <v>5</v>
      </c>
      <c r="M1246" s="188">
        <v>571</v>
      </c>
      <c r="N1246" s="172" t="s">
        <v>11</v>
      </c>
    </row>
    <row r="1247" spans="1:14" x14ac:dyDescent="0.25">
      <c r="A1247" s="63" t="s">
        <v>8</v>
      </c>
      <c r="B1247" s="77" t="s">
        <v>3072</v>
      </c>
      <c r="C1247" s="2">
        <v>4099854373572</v>
      </c>
      <c r="D1247" s="95">
        <v>4058075353787</v>
      </c>
      <c r="E1247" s="96" t="s">
        <v>1391</v>
      </c>
      <c r="F1247" s="22"/>
      <c r="G1247" s="156" t="str">
        <f>HYPERLINK("https://ledvance.com/pt/product-datasheet/336786/323974","Ficha Técnica")</f>
        <v>Ficha Técnica</v>
      </c>
      <c r="H1247" s="15">
        <v>1</v>
      </c>
      <c r="I1247" s="163" t="s">
        <v>1801</v>
      </c>
      <c r="J1247" s="15" t="s">
        <v>1796</v>
      </c>
      <c r="K1247" s="163" t="s">
        <v>249</v>
      </c>
      <c r="L1247" s="15">
        <v>5</v>
      </c>
      <c r="M1247" s="188">
        <v>571</v>
      </c>
      <c r="N1247" s="172" t="s">
        <v>11</v>
      </c>
    </row>
    <row r="1248" spans="1:14" x14ac:dyDescent="0.25">
      <c r="A1248" s="63" t="s">
        <v>8</v>
      </c>
      <c r="B1248" s="77" t="s">
        <v>3073</v>
      </c>
      <c r="C1248" s="2">
        <v>4099854373589</v>
      </c>
      <c r="D1248" s="95">
        <v>4058075353732</v>
      </c>
      <c r="E1248" s="96" t="s">
        <v>1392</v>
      </c>
      <c r="F1248" s="22"/>
      <c r="G1248" s="156" t="str">
        <f>HYPERLINK("https://ledvance.com/pt/product-datasheet/336782/323978","Ficha Técnica")</f>
        <v>Ficha Técnica</v>
      </c>
      <c r="H1248" s="15">
        <v>1</v>
      </c>
      <c r="I1248" s="163" t="s">
        <v>1802</v>
      </c>
      <c r="J1248" s="15" t="s">
        <v>1803</v>
      </c>
      <c r="K1248" s="163" t="s">
        <v>249</v>
      </c>
      <c r="L1248" s="15">
        <v>5</v>
      </c>
      <c r="M1248" s="188">
        <v>818.7</v>
      </c>
      <c r="N1248" s="172" t="s">
        <v>11</v>
      </c>
    </row>
    <row r="1249" spans="1:14" x14ac:dyDescent="0.25">
      <c r="A1249" s="63" t="s">
        <v>8</v>
      </c>
      <c r="B1249" s="77" t="s">
        <v>3074</v>
      </c>
      <c r="C1249" s="2">
        <v>4099854373596</v>
      </c>
      <c r="D1249" s="95">
        <v>4058075353572</v>
      </c>
      <c r="E1249" s="96" t="s">
        <v>1393</v>
      </c>
      <c r="F1249" s="22"/>
      <c r="G1249" s="156" t="str">
        <f>HYPERLINK("https://ledvance.com/pt/product-datasheet/336783/323982","Ficha Técnica")</f>
        <v>Ficha Técnica</v>
      </c>
      <c r="H1249" s="15">
        <v>1</v>
      </c>
      <c r="I1249" s="163" t="s">
        <v>1802</v>
      </c>
      <c r="J1249" s="15" t="s">
        <v>1803</v>
      </c>
      <c r="K1249" s="163" t="s">
        <v>249</v>
      </c>
      <c r="L1249" s="15">
        <v>5</v>
      </c>
      <c r="M1249" s="188">
        <v>818.7</v>
      </c>
      <c r="N1249" s="172" t="s">
        <v>11</v>
      </c>
    </row>
    <row r="1250" spans="1:14" x14ac:dyDescent="0.25">
      <c r="A1250" s="63" t="s">
        <v>8</v>
      </c>
      <c r="B1250" s="77" t="s">
        <v>3075</v>
      </c>
      <c r="C1250" s="2">
        <v>4099854373602</v>
      </c>
      <c r="D1250" s="95">
        <v>4058075541023</v>
      </c>
      <c r="E1250" s="96" t="s">
        <v>1394</v>
      </c>
      <c r="F1250" s="22"/>
      <c r="G1250" s="156" t="str">
        <f>HYPERLINK("https://ledvance.com/pt/product-datasheet/336787/323977","Ficha Técnica")</f>
        <v>Ficha Técnica</v>
      </c>
      <c r="H1250" s="15">
        <v>1</v>
      </c>
      <c r="I1250" s="163" t="s">
        <v>1804</v>
      </c>
      <c r="J1250" s="15" t="s">
        <v>1803</v>
      </c>
      <c r="K1250" s="163" t="s">
        <v>249</v>
      </c>
      <c r="L1250" s="15">
        <v>5</v>
      </c>
      <c r="M1250" s="188">
        <v>818.7</v>
      </c>
      <c r="N1250" s="172" t="s">
        <v>11</v>
      </c>
    </row>
    <row r="1251" spans="1:14" x14ac:dyDescent="0.25">
      <c r="A1251" s="63" t="s">
        <v>8</v>
      </c>
      <c r="B1251" s="77" t="s">
        <v>3076</v>
      </c>
      <c r="C1251" s="2">
        <v>4099854373619</v>
      </c>
      <c r="D1251" s="95">
        <v>4058075353794</v>
      </c>
      <c r="E1251" s="96" t="s">
        <v>1395</v>
      </c>
      <c r="F1251" s="22"/>
      <c r="G1251" s="156" t="str">
        <f>HYPERLINK("https://ledvance.com/pt/product-datasheet/336786/323981","Ficha Técnica")</f>
        <v>Ficha Técnica</v>
      </c>
      <c r="H1251" s="15">
        <v>1</v>
      </c>
      <c r="I1251" s="163" t="s">
        <v>1804</v>
      </c>
      <c r="J1251" s="15" t="s">
        <v>1803</v>
      </c>
      <c r="K1251" s="163" t="s">
        <v>249</v>
      </c>
      <c r="L1251" s="15">
        <v>5</v>
      </c>
      <c r="M1251" s="188">
        <v>818.7</v>
      </c>
      <c r="N1251" s="172" t="s">
        <v>11</v>
      </c>
    </row>
    <row r="1252" spans="1:14" x14ac:dyDescent="0.25">
      <c r="A1252" s="63" t="s">
        <v>8</v>
      </c>
      <c r="B1252" s="77" t="s">
        <v>3077</v>
      </c>
      <c r="C1252" s="2">
        <v>4099854373633</v>
      </c>
      <c r="D1252" s="95">
        <v>4058075353749</v>
      </c>
      <c r="E1252" s="96" t="s">
        <v>1396</v>
      </c>
      <c r="F1252" s="22"/>
      <c r="G1252" s="156" t="str">
        <f>HYPERLINK("https://ledvance.com/pt/product-datasheet/336782/323986","Ficha Técnica")</f>
        <v>Ficha Técnica</v>
      </c>
      <c r="H1252" s="15">
        <v>1</v>
      </c>
      <c r="I1252" s="163" t="s">
        <v>1805</v>
      </c>
      <c r="J1252" s="15" t="s">
        <v>1803</v>
      </c>
      <c r="K1252" s="163" t="s">
        <v>249</v>
      </c>
      <c r="L1252" s="15">
        <v>5</v>
      </c>
      <c r="M1252" s="188">
        <v>818.7</v>
      </c>
      <c r="N1252" s="172" t="s">
        <v>11</v>
      </c>
    </row>
    <row r="1253" spans="1:14" x14ac:dyDescent="0.25">
      <c r="A1253" s="63" t="s">
        <v>8</v>
      </c>
      <c r="B1253" s="77" t="s">
        <v>3078</v>
      </c>
      <c r="C1253" s="2">
        <v>4099854373664</v>
      </c>
      <c r="D1253" s="95">
        <v>4058075353602</v>
      </c>
      <c r="E1253" s="96" t="s">
        <v>1397</v>
      </c>
      <c r="F1253" s="22"/>
      <c r="G1253" s="156" t="str">
        <f>HYPERLINK("https://ledvance.com/pt/product-datasheet/336783/323988","Ficha Técnica")</f>
        <v>Ficha Técnica</v>
      </c>
      <c r="H1253" s="15">
        <v>1</v>
      </c>
      <c r="I1253" s="163" t="s">
        <v>1805</v>
      </c>
      <c r="J1253" s="15" t="s">
        <v>1803</v>
      </c>
      <c r="K1253" s="163" t="s">
        <v>249</v>
      </c>
      <c r="L1253" s="15">
        <v>5</v>
      </c>
      <c r="M1253" s="188">
        <v>818.7</v>
      </c>
      <c r="N1253" s="172" t="s">
        <v>11</v>
      </c>
    </row>
    <row r="1254" spans="1:14" x14ac:dyDescent="0.25">
      <c r="A1254" s="63" t="s">
        <v>8</v>
      </c>
      <c r="B1254" s="77" t="s">
        <v>3079</v>
      </c>
      <c r="C1254" s="2">
        <v>4099854373688</v>
      </c>
      <c r="D1254" s="95">
        <v>4058075541030</v>
      </c>
      <c r="E1254" s="96" t="s">
        <v>1398</v>
      </c>
      <c r="F1254" s="22"/>
      <c r="G1254" s="156" t="str">
        <f>HYPERLINK("https://ledvance.com/pt/product-datasheet/336787/323990","Ficha Técnica")</f>
        <v>Ficha Técnica</v>
      </c>
      <c r="H1254" s="15">
        <v>1</v>
      </c>
      <c r="I1254" s="163" t="s">
        <v>1806</v>
      </c>
      <c r="J1254" s="15" t="s">
        <v>1803</v>
      </c>
      <c r="K1254" s="163" t="s">
        <v>249</v>
      </c>
      <c r="L1254" s="15">
        <v>5</v>
      </c>
      <c r="M1254" s="188">
        <v>818.7</v>
      </c>
      <c r="N1254" s="172" t="s">
        <v>11</v>
      </c>
    </row>
    <row r="1255" spans="1:14" x14ac:dyDescent="0.25">
      <c r="A1255" s="63" t="s">
        <v>8</v>
      </c>
      <c r="B1255" s="77" t="s">
        <v>3080</v>
      </c>
      <c r="C1255" s="2">
        <v>4099854373695</v>
      </c>
      <c r="D1255" s="95">
        <v>4058075353800</v>
      </c>
      <c r="E1255" s="96" t="s">
        <v>1399</v>
      </c>
      <c r="F1255" s="22"/>
      <c r="G1255" s="156" t="str">
        <f>HYPERLINK("https://ledvance.com/pt/product-datasheet/336786/323993","Ficha Técnica")</f>
        <v>Ficha Técnica</v>
      </c>
      <c r="H1255" s="15">
        <v>1</v>
      </c>
      <c r="I1255" s="163" t="s">
        <v>1806</v>
      </c>
      <c r="J1255" s="15" t="s">
        <v>1803</v>
      </c>
      <c r="K1255" s="163" t="s">
        <v>249</v>
      </c>
      <c r="L1255" s="15">
        <v>5</v>
      </c>
      <c r="M1255" s="188">
        <v>818.7</v>
      </c>
      <c r="N1255" s="172" t="s">
        <v>11</v>
      </c>
    </row>
    <row r="1256" spans="1:14" x14ac:dyDescent="0.25">
      <c r="A1256" s="63" t="s">
        <v>8</v>
      </c>
      <c r="B1256" s="77" t="s">
        <v>3081</v>
      </c>
      <c r="C1256" s="2">
        <v>4099854373725</v>
      </c>
      <c r="D1256" s="84"/>
      <c r="E1256" s="85"/>
      <c r="F1256" s="22"/>
      <c r="G1256" s="156" t="str">
        <f>HYPERLINK("https://ledvance.com/pt/product-datasheet/336782/323995","Ficha Técnica")</f>
        <v>Ficha Técnica</v>
      </c>
      <c r="H1256" s="15">
        <v>1</v>
      </c>
      <c r="I1256" s="163" t="s">
        <v>1807</v>
      </c>
      <c r="J1256" s="15" t="s">
        <v>1808</v>
      </c>
      <c r="K1256" s="163" t="s">
        <v>249</v>
      </c>
      <c r="L1256" s="15">
        <v>5</v>
      </c>
      <c r="M1256" s="188">
        <v>1128.2</v>
      </c>
      <c r="N1256" s="172" t="s">
        <v>11</v>
      </c>
    </row>
    <row r="1257" spans="1:14" x14ac:dyDescent="0.25">
      <c r="A1257" s="63" t="s">
        <v>8</v>
      </c>
      <c r="B1257" s="77" t="s">
        <v>3082</v>
      </c>
      <c r="C1257" s="2">
        <v>4099854373732</v>
      </c>
      <c r="D1257" s="84"/>
      <c r="E1257" s="85"/>
      <c r="F1257" s="22"/>
      <c r="G1257" s="156" t="str">
        <f>HYPERLINK("https://ledvance.com/pt/product-datasheet/336783/323997","Ficha Técnica")</f>
        <v>Ficha Técnica</v>
      </c>
      <c r="H1257" s="15">
        <v>1</v>
      </c>
      <c r="I1257" s="163" t="s">
        <v>1807</v>
      </c>
      <c r="J1257" s="15" t="s">
        <v>1808</v>
      </c>
      <c r="K1257" s="163" t="s">
        <v>249</v>
      </c>
      <c r="L1257" s="15">
        <v>5</v>
      </c>
      <c r="M1257" s="188">
        <v>1128.2</v>
      </c>
      <c r="N1257" s="172" t="s">
        <v>11</v>
      </c>
    </row>
    <row r="1258" spans="1:14" x14ac:dyDescent="0.25">
      <c r="A1258" s="63" t="s">
        <v>8</v>
      </c>
      <c r="B1258" s="77" t="s">
        <v>3083</v>
      </c>
      <c r="C1258" s="2">
        <v>4099854373763</v>
      </c>
      <c r="D1258" s="84"/>
      <c r="E1258" s="85"/>
      <c r="F1258" s="22"/>
      <c r="G1258" s="156" t="str">
        <f>HYPERLINK("https://ledvance.com/pt/product-datasheet/336784/324128","Ficha Técnica")</f>
        <v>Ficha Técnica</v>
      </c>
      <c r="H1258" s="15">
        <v>1</v>
      </c>
      <c r="I1258" s="163" t="s">
        <v>1809</v>
      </c>
      <c r="J1258" s="15" t="s">
        <v>1808</v>
      </c>
      <c r="K1258" s="163" t="s">
        <v>249</v>
      </c>
      <c r="L1258" s="15">
        <v>5</v>
      </c>
      <c r="M1258" s="188">
        <v>1128.2</v>
      </c>
      <c r="N1258" s="172" t="s">
        <v>11</v>
      </c>
    </row>
    <row r="1259" spans="1:14" x14ac:dyDescent="0.25">
      <c r="A1259" s="63" t="s">
        <v>8</v>
      </c>
      <c r="B1259" s="77" t="s">
        <v>3084</v>
      </c>
      <c r="C1259" s="2">
        <v>4099854373770</v>
      </c>
      <c r="D1259" s="84"/>
      <c r="E1259" s="85"/>
      <c r="F1259" s="22"/>
      <c r="G1259" s="156" t="str">
        <f>HYPERLINK("https://ledvance.com/pt/product-datasheet/336785/324130","Ficha Técnica")</f>
        <v>Ficha Técnica</v>
      </c>
      <c r="H1259" s="15">
        <v>1</v>
      </c>
      <c r="I1259" s="163" t="s">
        <v>1810</v>
      </c>
      <c r="J1259" s="15" t="s">
        <v>1808</v>
      </c>
      <c r="K1259" s="163" t="s">
        <v>249</v>
      </c>
      <c r="L1259" s="15">
        <v>5</v>
      </c>
      <c r="M1259" s="188">
        <v>1128.2</v>
      </c>
      <c r="N1259" s="172" t="s">
        <v>11</v>
      </c>
    </row>
    <row r="1260" spans="1:14" x14ac:dyDescent="0.25">
      <c r="A1260" s="63" t="s">
        <v>8</v>
      </c>
      <c r="B1260" s="77" t="s">
        <v>3085</v>
      </c>
      <c r="C1260" s="2">
        <v>4099854373794</v>
      </c>
      <c r="D1260" s="84"/>
      <c r="E1260" s="85"/>
      <c r="F1260" s="22"/>
      <c r="G1260" s="156" t="str">
        <f>HYPERLINK("https://ledvance.com/pt/product-datasheet/336782/323999","Ficha Técnica")</f>
        <v>Ficha Técnica</v>
      </c>
      <c r="H1260" s="15">
        <v>1</v>
      </c>
      <c r="I1260" s="163" t="s">
        <v>1811</v>
      </c>
      <c r="J1260" s="15" t="s">
        <v>1808</v>
      </c>
      <c r="K1260" s="163" t="s">
        <v>249</v>
      </c>
      <c r="L1260" s="15">
        <v>5</v>
      </c>
      <c r="M1260" s="188">
        <v>1128.2</v>
      </c>
      <c r="N1260" s="172" t="s">
        <v>11</v>
      </c>
    </row>
    <row r="1261" spans="1:14" x14ac:dyDescent="0.25">
      <c r="A1261" s="63" t="s">
        <v>8</v>
      </c>
      <c r="B1261" s="77" t="s">
        <v>3086</v>
      </c>
      <c r="C1261" s="2">
        <v>4099854373800</v>
      </c>
      <c r="D1261" s="84"/>
      <c r="E1261" s="85"/>
      <c r="F1261" s="22"/>
      <c r="G1261" s="156" t="str">
        <f>HYPERLINK("https://ledvance.com/pt/product-datasheet/336783/324002","Ficha Técnica")</f>
        <v>Ficha Técnica</v>
      </c>
      <c r="H1261" s="15">
        <v>1</v>
      </c>
      <c r="I1261" s="163" t="s">
        <v>1811</v>
      </c>
      <c r="J1261" s="15" t="s">
        <v>1808</v>
      </c>
      <c r="K1261" s="163" t="s">
        <v>249</v>
      </c>
      <c r="L1261" s="15">
        <v>5</v>
      </c>
      <c r="M1261" s="188">
        <v>1128.2</v>
      </c>
      <c r="N1261" s="172" t="s">
        <v>11</v>
      </c>
    </row>
    <row r="1262" spans="1:14" x14ac:dyDescent="0.25">
      <c r="A1262" s="63" t="s">
        <v>8</v>
      </c>
      <c r="B1262" s="77" t="s">
        <v>3087</v>
      </c>
      <c r="C1262" s="2">
        <v>4099854373824</v>
      </c>
      <c r="D1262" s="84"/>
      <c r="E1262" s="85"/>
      <c r="F1262" s="22"/>
      <c r="G1262" s="156" t="str">
        <f>HYPERLINK("https://ledvance.com/pt/product-datasheet/336784/324132","Ficha Técnica")</f>
        <v>Ficha Técnica</v>
      </c>
      <c r="H1262" s="15">
        <v>1</v>
      </c>
      <c r="I1262" s="163" t="s">
        <v>1807</v>
      </c>
      <c r="J1262" s="15" t="s">
        <v>1808</v>
      </c>
      <c r="K1262" s="163" t="s">
        <v>249</v>
      </c>
      <c r="L1262" s="15">
        <v>5</v>
      </c>
      <c r="M1262" s="188">
        <v>1128.2</v>
      </c>
      <c r="N1262" s="172" t="s">
        <v>11</v>
      </c>
    </row>
    <row r="1263" spans="1:14" x14ac:dyDescent="0.25">
      <c r="A1263" s="63" t="s">
        <v>8</v>
      </c>
      <c r="B1263" s="77" t="s">
        <v>3088</v>
      </c>
      <c r="C1263" s="2">
        <v>4099854373848</v>
      </c>
      <c r="D1263" s="84"/>
      <c r="E1263" s="85"/>
      <c r="F1263" s="22"/>
      <c r="G1263" s="156" t="str">
        <f>HYPERLINK("https://ledvance.com/pt/product-datasheet/336785/324134","Ficha Técnica")</f>
        <v>Ficha Técnica</v>
      </c>
      <c r="H1263" s="15">
        <v>1</v>
      </c>
      <c r="I1263" s="163" t="s">
        <v>1812</v>
      </c>
      <c r="J1263" s="15" t="s">
        <v>1808</v>
      </c>
      <c r="K1263" s="163" t="s">
        <v>249</v>
      </c>
      <c r="L1263" s="15">
        <v>5</v>
      </c>
      <c r="M1263" s="188">
        <v>1128.2</v>
      </c>
      <c r="N1263" s="172" t="s">
        <v>11</v>
      </c>
    </row>
    <row r="1264" spans="1:14" x14ac:dyDescent="0.25">
      <c r="A1264" s="63" t="s">
        <v>8</v>
      </c>
      <c r="B1264" s="77" t="s">
        <v>3089</v>
      </c>
      <c r="C1264" s="2">
        <v>4099854373862</v>
      </c>
      <c r="D1264" s="84"/>
      <c r="E1264" s="85"/>
      <c r="F1264" s="22"/>
      <c r="G1264" s="156" t="str">
        <f>HYPERLINK("https://ledvance.com/pt/product-datasheet/336782/324004","Ficha Técnica")</f>
        <v>Ficha Técnica</v>
      </c>
      <c r="H1264" s="15">
        <v>1</v>
      </c>
      <c r="I1264" s="163" t="s">
        <v>1813</v>
      </c>
      <c r="J1264" s="15" t="s">
        <v>1814</v>
      </c>
      <c r="K1264" s="163" t="s">
        <v>249</v>
      </c>
      <c r="L1264" s="15">
        <v>5</v>
      </c>
      <c r="M1264" s="188">
        <v>1321.6</v>
      </c>
      <c r="N1264" s="172" t="s">
        <v>11</v>
      </c>
    </row>
    <row r="1265" spans="1:14" x14ac:dyDescent="0.25">
      <c r="A1265" s="63" t="s">
        <v>8</v>
      </c>
      <c r="B1265" s="77" t="s">
        <v>3090</v>
      </c>
      <c r="C1265" s="2">
        <v>4099854373886</v>
      </c>
      <c r="D1265" s="84"/>
      <c r="E1265" s="85"/>
      <c r="F1265" s="22"/>
      <c r="G1265" s="156" t="str">
        <f>HYPERLINK("https://ledvance.com/pt/product-datasheet/336784/324136","Ficha Técnica")</f>
        <v>Ficha Técnica</v>
      </c>
      <c r="H1265" s="15">
        <v>1</v>
      </c>
      <c r="I1265" s="163" t="s">
        <v>1815</v>
      </c>
      <c r="J1265" s="15" t="s">
        <v>1814</v>
      </c>
      <c r="K1265" s="163" t="s">
        <v>249</v>
      </c>
      <c r="L1265" s="15">
        <v>5</v>
      </c>
      <c r="M1265" s="188">
        <v>1321.6</v>
      </c>
      <c r="N1265" s="172" t="s">
        <v>11</v>
      </c>
    </row>
    <row r="1266" spans="1:14" x14ac:dyDescent="0.25">
      <c r="A1266" s="63" t="s">
        <v>8</v>
      </c>
      <c r="B1266" s="77" t="s">
        <v>3091</v>
      </c>
      <c r="C1266" s="2">
        <v>4099854373947</v>
      </c>
      <c r="D1266" s="84"/>
      <c r="E1266" s="85"/>
      <c r="F1266" s="22"/>
      <c r="G1266" s="156" t="str">
        <f>HYPERLINK("https://ledvance.com/pt/product-datasheet/336783/324006","Ficha Técnica")</f>
        <v>Ficha Técnica</v>
      </c>
      <c r="H1266" s="15">
        <v>1</v>
      </c>
      <c r="I1266" s="163" t="s">
        <v>1816</v>
      </c>
      <c r="J1266" s="15" t="s">
        <v>1814</v>
      </c>
      <c r="K1266" s="163" t="s">
        <v>249</v>
      </c>
      <c r="L1266" s="15">
        <v>5</v>
      </c>
      <c r="M1266" s="188">
        <v>1321.6</v>
      </c>
      <c r="N1266" s="172" t="s">
        <v>11</v>
      </c>
    </row>
    <row r="1267" spans="1:14" x14ac:dyDescent="0.25">
      <c r="A1267" s="63" t="s">
        <v>8</v>
      </c>
      <c r="B1267" s="77" t="s">
        <v>3092</v>
      </c>
      <c r="C1267" s="2">
        <v>4099854373961</v>
      </c>
      <c r="D1267" s="84"/>
      <c r="E1267" s="85"/>
      <c r="F1267" s="22"/>
      <c r="G1267" s="156" t="str">
        <f>HYPERLINK("https://ledvance.com/pt/product-datasheet/336785/324138","Ficha Técnica")</f>
        <v>Ficha Técnica</v>
      </c>
      <c r="H1267" s="15">
        <v>1</v>
      </c>
      <c r="I1267" s="163" t="s">
        <v>1817</v>
      </c>
      <c r="J1267" s="15" t="s">
        <v>1814</v>
      </c>
      <c r="K1267" s="163" t="s">
        <v>249</v>
      </c>
      <c r="L1267" s="15">
        <v>5</v>
      </c>
      <c r="M1267" s="188">
        <v>1321.6</v>
      </c>
      <c r="N1267" s="172" t="s">
        <v>11</v>
      </c>
    </row>
    <row r="1268" spans="1:14" x14ac:dyDescent="0.25">
      <c r="A1268" s="63" t="s">
        <v>8</v>
      </c>
      <c r="B1268" s="77" t="s">
        <v>3093</v>
      </c>
      <c r="C1268" s="2">
        <v>4099854373985</v>
      </c>
      <c r="D1268" s="84"/>
      <c r="E1268" s="85"/>
      <c r="F1268" s="22"/>
      <c r="G1268" s="156" t="str">
        <f>HYPERLINK("https://ledvance.com/pt/product-datasheet/336782/324008","Ficha Técnica")</f>
        <v>Ficha Técnica</v>
      </c>
      <c r="H1268" s="15">
        <v>1</v>
      </c>
      <c r="I1268" s="163" t="s">
        <v>1818</v>
      </c>
      <c r="J1268" s="15" t="s">
        <v>1814</v>
      </c>
      <c r="K1268" s="163" t="s">
        <v>249</v>
      </c>
      <c r="L1268" s="15">
        <v>5</v>
      </c>
      <c r="M1268" s="188">
        <v>1321.6</v>
      </c>
      <c r="N1268" s="172" t="s">
        <v>11</v>
      </c>
    </row>
    <row r="1269" spans="1:14" x14ac:dyDescent="0.25">
      <c r="A1269" s="63" t="s">
        <v>8</v>
      </c>
      <c r="B1269" s="77" t="s">
        <v>3094</v>
      </c>
      <c r="C1269" s="2">
        <v>4099854374005</v>
      </c>
      <c r="D1269" s="84"/>
      <c r="E1269" s="85"/>
      <c r="F1269" s="22"/>
      <c r="G1269" s="156" t="str">
        <f>HYPERLINK("https://ledvance.com/pt/product-datasheet/336784/324140","Ficha Técnica")</f>
        <v>Ficha Técnica</v>
      </c>
      <c r="H1269" s="15">
        <v>1</v>
      </c>
      <c r="I1269" s="163" t="s">
        <v>1816</v>
      </c>
      <c r="J1269" s="15" t="s">
        <v>1814</v>
      </c>
      <c r="K1269" s="163" t="s">
        <v>249</v>
      </c>
      <c r="L1269" s="15">
        <v>5</v>
      </c>
      <c r="M1269" s="188">
        <v>1321.6</v>
      </c>
      <c r="N1269" s="172" t="s">
        <v>11</v>
      </c>
    </row>
    <row r="1270" spans="1:14" x14ac:dyDescent="0.25">
      <c r="A1270" s="63" t="s">
        <v>8</v>
      </c>
      <c r="B1270" s="77" t="s">
        <v>3095</v>
      </c>
      <c r="C1270" s="2">
        <v>4099854374029</v>
      </c>
      <c r="D1270" s="84"/>
      <c r="E1270" s="85"/>
      <c r="F1270" s="22"/>
      <c r="G1270" s="156" t="str">
        <f>HYPERLINK("https://ledvance.com/pt/product-datasheet/336783/324011","Ficha Técnica")</f>
        <v>Ficha Técnica</v>
      </c>
      <c r="H1270" s="15">
        <v>1</v>
      </c>
      <c r="I1270" s="163" t="s">
        <v>1818</v>
      </c>
      <c r="J1270" s="15" t="s">
        <v>1814</v>
      </c>
      <c r="K1270" s="163" t="s">
        <v>249</v>
      </c>
      <c r="L1270" s="15">
        <v>5</v>
      </c>
      <c r="M1270" s="188">
        <v>1321.6</v>
      </c>
      <c r="N1270" s="172" t="s">
        <v>11</v>
      </c>
    </row>
    <row r="1271" spans="1:14" x14ac:dyDescent="0.25">
      <c r="A1271" s="63" t="s">
        <v>8</v>
      </c>
      <c r="B1271" s="77" t="s">
        <v>3096</v>
      </c>
      <c r="C1271" s="2">
        <v>4099854374043</v>
      </c>
      <c r="D1271" s="84"/>
      <c r="E1271" s="85"/>
      <c r="F1271" s="22"/>
      <c r="G1271" s="156" t="str">
        <f>HYPERLINK("https://ledvance.com/pt/product-datasheet/336785/324142","Ficha Técnica")</f>
        <v>Ficha Técnica</v>
      </c>
      <c r="H1271" s="15">
        <v>1</v>
      </c>
      <c r="I1271" s="163" t="s">
        <v>1819</v>
      </c>
      <c r="J1271" s="15" t="s">
        <v>1814</v>
      </c>
      <c r="K1271" s="163" t="s">
        <v>249</v>
      </c>
      <c r="L1271" s="15">
        <v>5</v>
      </c>
      <c r="M1271" s="188">
        <v>1321.6</v>
      </c>
      <c r="N1271" s="172" t="s">
        <v>11</v>
      </c>
    </row>
    <row r="1272" spans="1:14" x14ac:dyDescent="0.25">
      <c r="A1272" s="66" t="s">
        <v>8</v>
      </c>
      <c r="B1272" s="69" t="s">
        <v>1400</v>
      </c>
      <c r="C1272" s="51"/>
      <c r="D1272" s="65"/>
      <c r="E1272" s="92"/>
      <c r="F1272" s="12"/>
      <c r="G1272" s="157"/>
      <c r="H1272" s="12"/>
      <c r="I1272" s="62"/>
      <c r="J1272" s="27"/>
      <c r="K1272" s="62"/>
      <c r="L1272" s="12"/>
      <c r="M1272" s="191"/>
      <c r="N1272" s="65"/>
    </row>
    <row r="1273" spans="1:14" x14ac:dyDescent="0.25">
      <c r="A1273" s="63" t="s">
        <v>8</v>
      </c>
      <c r="B1273" s="77" t="s">
        <v>3097</v>
      </c>
      <c r="C1273" s="2">
        <v>4099854373145</v>
      </c>
      <c r="D1273" s="95">
        <v>4058075760622</v>
      </c>
      <c r="E1273" s="96" t="s">
        <v>3098</v>
      </c>
      <c r="F1273" s="22"/>
      <c r="G1273" s="156" t="str">
        <f>HYPERLINK("https://ledvance.com/pt/product-datasheet/336789/324014","Ficha Técnica")</f>
        <v>Ficha Técnica</v>
      </c>
      <c r="H1273" s="15">
        <v>1</v>
      </c>
      <c r="I1273" s="163">
        <v>5800</v>
      </c>
      <c r="J1273" s="15">
        <v>40</v>
      </c>
      <c r="K1273" s="163" t="s">
        <v>249</v>
      </c>
      <c r="L1273" s="15">
        <v>5</v>
      </c>
      <c r="M1273" s="188">
        <v>258.7</v>
      </c>
      <c r="N1273" s="172" t="s">
        <v>11</v>
      </c>
    </row>
    <row r="1274" spans="1:14" x14ac:dyDescent="0.25">
      <c r="A1274" s="63" t="s">
        <v>8</v>
      </c>
      <c r="B1274" s="77" t="s">
        <v>3099</v>
      </c>
      <c r="C1274" s="2">
        <v>4099854373169</v>
      </c>
      <c r="D1274" s="95">
        <v>4058075760523</v>
      </c>
      <c r="E1274" s="96" t="s">
        <v>3100</v>
      </c>
      <c r="F1274" s="22"/>
      <c r="G1274" s="156" t="str">
        <f>HYPERLINK("https://ledvance.com/pt/product-datasheet/336790/324016","Ficha Técnica")</f>
        <v>Ficha Técnica</v>
      </c>
      <c r="H1274" s="15">
        <v>1</v>
      </c>
      <c r="I1274" s="163">
        <v>5900</v>
      </c>
      <c r="J1274" s="15">
        <v>40</v>
      </c>
      <c r="K1274" s="163" t="s">
        <v>249</v>
      </c>
      <c r="L1274" s="15">
        <v>5</v>
      </c>
      <c r="M1274" s="188">
        <v>258.7</v>
      </c>
      <c r="N1274" s="172" t="s">
        <v>11</v>
      </c>
    </row>
    <row r="1275" spans="1:14" x14ac:dyDescent="0.25">
      <c r="A1275" s="63" t="s">
        <v>8</v>
      </c>
      <c r="B1275" s="77" t="s">
        <v>3101</v>
      </c>
      <c r="C1275" s="2">
        <v>4099854373183</v>
      </c>
      <c r="D1275" s="95">
        <v>4058075760639</v>
      </c>
      <c r="E1275" s="96" t="s">
        <v>3102</v>
      </c>
      <c r="F1275" s="22"/>
      <c r="G1275" s="156" t="str">
        <f>HYPERLINK("https://ledvance.com/pt/product-datasheet/336789/324019","Ficha Técnica")</f>
        <v>Ficha Técnica</v>
      </c>
      <c r="H1275" s="15">
        <v>1</v>
      </c>
      <c r="I1275" s="163">
        <v>6100</v>
      </c>
      <c r="J1275" s="15">
        <v>40</v>
      </c>
      <c r="K1275" s="163" t="s">
        <v>249</v>
      </c>
      <c r="L1275" s="15">
        <v>5</v>
      </c>
      <c r="M1275" s="188">
        <v>258.7</v>
      </c>
      <c r="N1275" s="172" t="s">
        <v>11</v>
      </c>
    </row>
    <row r="1276" spans="1:14" x14ac:dyDescent="0.25">
      <c r="A1276" s="63" t="s">
        <v>8</v>
      </c>
      <c r="B1276" s="77" t="s">
        <v>3103</v>
      </c>
      <c r="C1276" s="2">
        <v>4099854373206</v>
      </c>
      <c r="D1276" s="95">
        <v>4058075760530</v>
      </c>
      <c r="E1276" s="96" t="s">
        <v>3104</v>
      </c>
      <c r="F1276" s="22"/>
      <c r="G1276" s="156" t="str">
        <f>HYPERLINK("https://ledvance.com/pt/product-datasheet/336790/324021","Ficha Técnica")</f>
        <v>Ficha Técnica</v>
      </c>
      <c r="H1276" s="15">
        <v>1</v>
      </c>
      <c r="I1276" s="163">
        <v>6200</v>
      </c>
      <c r="J1276" s="15">
        <v>40</v>
      </c>
      <c r="K1276" s="163" t="s">
        <v>249</v>
      </c>
      <c r="L1276" s="15">
        <v>5</v>
      </c>
      <c r="M1276" s="188">
        <v>258.7</v>
      </c>
      <c r="N1276" s="172" t="s">
        <v>11</v>
      </c>
    </row>
    <row r="1277" spans="1:14" x14ac:dyDescent="0.25">
      <c r="A1277" s="63" t="s">
        <v>8</v>
      </c>
      <c r="B1277" s="77" t="s">
        <v>3105</v>
      </c>
      <c r="C1277" s="2">
        <v>4099854374135</v>
      </c>
      <c r="D1277" s="84"/>
      <c r="E1277" s="85"/>
      <c r="F1277" s="22"/>
      <c r="G1277" s="156" t="str">
        <f>HYPERLINK("https://ledvance.com/pt/product-datasheet/336789/324122","Ficha Técnica")</f>
        <v>Ficha Técnica</v>
      </c>
      <c r="H1277" s="15">
        <v>1</v>
      </c>
      <c r="I1277" s="163">
        <v>8300</v>
      </c>
      <c r="J1277" s="15">
        <v>80</v>
      </c>
      <c r="K1277" s="163" t="s">
        <v>249</v>
      </c>
      <c r="L1277" s="15">
        <v>5</v>
      </c>
      <c r="M1277" s="188">
        <v>393.4</v>
      </c>
      <c r="N1277" s="172" t="s">
        <v>11</v>
      </c>
    </row>
    <row r="1278" spans="1:14" x14ac:dyDescent="0.25">
      <c r="A1278" s="63" t="s">
        <v>8</v>
      </c>
      <c r="B1278" s="77" t="s">
        <v>3106</v>
      </c>
      <c r="C1278" s="2">
        <v>4099854374142</v>
      </c>
      <c r="D1278" s="84"/>
      <c r="E1278" s="85"/>
      <c r="F1278" s="22"/>
      <c r="G1278" s="156" t="str">
        <f>HYPERLINK("https://ledvance.com/pt/product-datasheet/336790/324124","Ficha Técnica")</f>
        <v>Ficha Técnica</v>
      </c>
      <c r="H1278" s="15">
        <v>1</v>
      </c>
      <c r="I1278" s="163">
        <v>8400</v>
      </c>
      <c r="J1278" s="15">
        <v>80</v>
      </c>
      <c r="K1278" s="163" t="s">
        <v>249</v>
      </c>
      <c r="L1278" s="15">
        <v>5</v>
      </c>
      <c r="M1278" s="188">
        <v>393.4</v>
      </c>
      <c r="N1278" s="172" t="s">
        <v>11</v>
      </c>
    </row>
    <row r="1279" spans="1:14" x14ac:dyDescent="0.25">
      <c r="A1279" s="63" t="s">
        <v>8</v>
      </c>
      <c r="B1279" s="77" t="s">
        <v>3107</v>
      </c>
      <c r="C1279" s="2">
        <v>4099854373220</v>
      </c>
      <c r="D1279" s="95">
        <v>4058075760646</v>
      </c>
      <c r="E1279" s="96" t="s">
        <v>3108</v>
      </c>
      <c r="F1279" s="22"/>
      <c r="G1279" s="156" t="str">
        <f>HYPERLINK("https://ledvance.com/pt/product-datasheet/336789/324023","Ficha Técnica")</f>
        <v>Ficha Técnica</v>
      </c>
      <c r="H1279" s="15">
        <v>1</v>
      </c>
      <c r="I1279" s="163">
        <v>11400</v>
      </c>
      <c r="J1279" s="15">
        <v>80</v>
      </c>
      <c r="K1279" s="163" t="s">
        <v>249</v>
      </c>
      <c r="L1279" s="15">
        <v>5</v>
      </c>
      <c r="M1279" s="188">
        <v>393.4</v>
      </c>
      <c r="N1279" s="172" t="s">
        <v>11</v>
      </c>
    </row>
    <row r="1280" spans="1:14" x14ac:dyDescent="0.25">
      <c r="A1280" s="63" t="s">
        <v>8</v>
      </c>
      <c r="B1280" s="77" t="s">
        <v>3109</v>
      </c>
      <c r="C1280" s="2">
        <v>4099854373244</v>
      </c>
      <c r="D1280" s="95">
        <v>4058075760547</v>
      </c>
      <c r="E1280" s="96" t="s">
        <v>3110</v>
      </c>
      <c r="F1280" s="22"/>
      <c r="G1280" s="156" t="str">
        <f>HYPERLINK("https://ledvance.com/pt/product-datasheet/336790/324025","Ficha Técnica")</f>
        <v>Ficha Técnica</v>
      </c>
      <c r="H1280" s="15">
        <v>1</v>
      </c>
      <c r="I1280" s="163">
        <v>11500</v>
      </c>
      <c r="J1280" s="15">
        <v>80</v>
      </c>
      <c r="K1280" s="163" t="s">
        <v>249</v>
      </c>
      <c r="L1280" s="15">
        <v>5</v>
      </c>
      <c r="M1280" s="188">
        <v>393.4</v>
      </c>
      <c r="N1280" s="172" t="s">
        <v>11</v>
      </c>
    </row>
    <row r="1281" spans="1:14" x14ac:dyDescent="0.25">
      <c r="A1281" s="63" t="s">
        <v>8</v>
      </c>
      <c r="B1281" s="77" t="s">
        <v>3111</v>
      </c>
      <c r="C1281" s="2">
        <v>4099854373268</v>
      </c>
      <c r="D1281" s="95">
        <v>4058075760653</v>
      </c>
      <c r="E1281" s="96" t="s">
        <v>3112</v>
      </c>
      <c r="F1281" s="22"/>
      <c r="G1281" s="156" t="str">
        <f>HYPERLINK("https://ledvance.com/pt/product-datasheet/336789/324028","Ficha Técnica")</f>
        <v>Ficha Técnica</v>
      </c>
      <c r="H1281" s="15">
        <v>1</v>
      </c>
      <c r="I1281" s="163">
        <v>12000</v>
      </c>
      <c r="J1281" s="15">
        <v>80</v>
      </c>
      <c r="K1281" s="163" t="s">
        <v>249</v>
      </c>
      <c r="L1281" s="15">
        <v>5</v>
      </c>
      <c r="M1281" s="188">
        <v>393.4</v>
      </c>
      <c r="N1281" s="172" t="s">
        <v>11</v>
      </c>
    </row>
    <row r="1282" spans="1:14" x14ac:dyDescent="0.25">
      <c r="A1282" s="63" t="s">
        <v>8</v>
      </c>
      <c r="B1282" s="77" t="s">
        <v>3113</v>
      </c>
      <c r="C1282" s="2">
        <v>4099854373299</v>
      </c>
      <c r="D1282" s="95">
        <v>4058075760554</v>
      </c>
      <c r="E1282" s="96" t="s">
        <v>3114</v>
      </c>
      <c r="F1282" s="22"/>
      <c r="G1282" s="156" t="str">
        <f>HYPERLINK("https://ledvance.com/pt/product-datasheet/336790/324030","Ficha Técnica")</f>
        <v>Ficha Técnica</v>
      </c>
      <c r="H1282" s="15">
        <v>1</v>
      </c>
      <c r="I1282" s="163">
        <v>12100</v>
      </c>
      <c r="J1282" s="15">
        <v>80</v>
      </c>
      <c r="K1282" s="163" t="s">
        <v>249</v>
      </c>
      <c r="L1282" s="15">
        <v>5</v>
      </c>
      <c r="M1282" s="188">
        <v>393.4</v>
      </c>
      <c r="N1282" s="172" t="s">
        <v>11</v>
      </c>
    </row>
    <row r="1283" spans="1:14" x14ac:dyDescent="0.25">
      <c r="A1283" s="63" t="s">
        <v>8</v>
      </c>
      <c r="B1283" s="77" t="s">
        <v>3115</v>
      </c>
      <c r="C1283" s="2">
        <v>4099854374159</v>
      </c>
      <c r="D1283" s="84"/>
      <c r="E1283" s="85"/>
      <c r="F1283" s="22"/>
      <c r="G1283" s="156" t="str">
        <f>HYPERLINK("https://ledvance.com/pt/product-datasheet/336793/324126","Ficha Técnica")</f>
        <v>Ficha Técnica</v>
      </c>
      <c r="H1283" s="15">
        <v>1</v>
      </c>
      <c r="I1283" s="163">
        <v>15000</v>
      </c>
      <c r="J1283" s="15">
        <v>130</v>
      </c>
      <c r="K1283" s="163" t="s">
        <v>249</v>
      </c>
      <c r="L1283" s="15">
        <v>5</v>
      </c>
      <c r="M1283" s="188">
        <v>477.6</v>
      </c>
      <c r="N1283" s="172" t="s">
        <v>11</v>
      </c>
    </row>
    <row r="1284" spans="1:14" x14ac:dyDescent="0.25">
      <c r="A1284" s="63" t="s">
        <v>8</v>
      </c>
      <c r="B1284" s="77" t="s">
        <v>3116</v>
      </c>
      <c r="C1284" s="2">
        <v>4099854373312</v>
      </c>
      <c r="D1284" s="95">
        <v>4058075760660</v>
      </c>
      <c r="E1284" s="96" t="s">
        <v>3117</v>
      </c>
      <c r="F1284" s="22"/>
      <c r="G1284" s="156" t="str">
        <f>HYPERLINK("https://ledvance.com/pt/product-datasheet/336789/324032","Ficha Técnica")</f>
        <v>Ficha Técnica</v>
      </c>
      <c r="H1284" s="15">
        <v>1</v>
      </c>
      <c r="I1284" s="163">
        <v>19000</v>
      </c>
      <c r="J1284" s="15">
        <v>130</v>
      </c>
      <c r="K1284" s="163" t="s">
        <v>249</v>
      </c>
      <c r="L1284" s="15">
        <v>5</v>
      </c>
      <c r="M1284" s="188">
        <v>477.6</v>
      </c>
      <c r="N1284" s="172" t="s">
        <v>11</v>
      </c>
    </row>
    <row r="1285" spans="1:14" x14ac:dyDescent="0.25">
      <c r="A1285" s="63" t="s">
        <v>8</v>
      </c>
      <c r="B1285" s="77" t="s">
        <v>3118</v>
      </c>
      <c r="C1285" s="2">
        <v>4099854373336</v>
      </c>
      <c r="D1285" s="95">
        <v>4058075760561</v>
      </c>
      <c r="E1285" s="96" t="s">
        <v>3119</v>
      </c>
      <c r="F1285" s="22"/>
      <c r="G1285" s="156" t="str">
        <f>HYPERLINK("https://ledvance.com/pt/product-datasheet/336790/324035","Ficha Técnica")</f>
        <v>Ficha Técnica</v>
      </c>
      <c r="H1285" s="15">
        <v>1</v>
      </c>
      <c r="I1285" s="163">
        <v>19100</v>
      </c>
      <c r="J1285" s="15">
        <v>130</v>
      </c>
      <c r="K1285" s="163" t="s">
        <v>249</v>
      </c>
      <c r="L1285" s="15">
        <v>5</v>
      </c>
      <c r="M1285" s="188">
        <v>477.6</v>
      </c>
      <c r="N1285" s="172" t="s">
        <v>11</v>
      </c>
    </row>
    <row r="1286" spans="1:14" x14ac:dyDescent="0.25">
      <c r="A1286" s="63" t="s">
        <v>8</v>
      </c>
      <c r="B1286" s="77" t="s">
        <v>3120</v>
      </c>
      <c r="C1286" s="2">
        <v>4099854373343</v>
      </c>
      <c r="D1286" s="95">
        <v>4058075760783</v>
      </c>
      <c r="E1286" s="96" t="s">
        <v>3121</v>
      </c>
      <c r="F1286" s="22"/>
      <c r="G1286" s="156" t="str">
        <f>HYPERLINK("https://ledvance.com/pt/product-datasheet/336794/324037","Ficha Técnica")</f>
        <v>Ficha Técnica</v>
      </c>
      <c r="H1286" s="15">
        <v>1</v>
      </c>
      <c r="I1286" s="163">
        <v>19900</v>
      </c>
      <c r="J1286" s="15">
        <v>130</v>
      </c>
      <c r="K1286" s="163" t="s">
        <v>249</v>
      </c>
      <c r="L1286" s="15">
        <v>5</v>
      </c>
      <c r="M1286" s="188">
        <v>477.6</v>
      </c>
      <c r="N1286" s="172" t="s">
        <v>11</v>
      </c>
    </row>
    <row r="1287" spans="1:14" x14ac:dyDescent="0.25">
      <c r="A1287" s="63" t="s">
        <v>8</v>
      </c>
      <c r="B1287" s="77" t="s">
        <v>3122</v>
      </c>
      <c r="C1287" s="2">
        <v>4099854373367</v>
      </c>
      <c r="D1287" s="95">
        <v>4058075760721</v>
      </c>
      <c r="E1287" s="96" t="s">
        <v>3123</v>
      </c>
      <c r="F1287" s="22"/>
      <c r="G1287" s="156" t="str">
        <f>HYPERLINK("https://ledvance.com/pt/product-datasheet/336793/324039","Ficha Técnica")</f>
        <v>Ficha Técnica</v>
      </c>
      <c r="H1287" s="15">
        <v>1</v>
      </c>
      <c r="I1287" s="163">
        <v>19900</v>
      </c>
      <c r="J1287" s="15">
        <v>130</v>
      </c>
      <c r="K1287" s="163" t="s">
        <v>249</v>
      </c>
      <c r="L1287" s="15">
        <v>5</v>
      </c>
      <c r="M1287" s="188">
        <v>477.6</v>
      </c>
      <c r="N1287" s="172" t="s">
        <v>11</v>
      </c>
    </row>
    <row r="1288" spans="1:14" x14ac:dyDescent="0.25">
      <c r="A1288" s="63" t="s">
        <v>8</v>
      </c>
      <c r="B1288" s="77" t="s">
        <v>3124</v>
      </c>
      <c r="C1288" s="2">
        <v>4099854373381</v>
      </c>
      <c r="D1288" s="95">
        <v>4058075760677</v>
      </c>
      <c r="E1288" s="96" t="s">
        <v>3125</v>
      </c>
      <c r="F1288" s="22"/>
      <c r="G1288" s="156" t="str">
        <f>HYPERLINK("https://ledvance.com/pt/product-datasheet/336789/324041","Ficha Técnica")</f>
        <v>Ficha Técnica</v>
      </c>
      <c r="H1288" s="15">
        <v>1</v>
      </c>
      <c r="I1288" s="163">
        <v>19800</v>
      </c>
      <c r="J1288" s="15">
        <v>130</v>
      </c>
      <c r="K1288" s="163" t="s">
        <v>249</v>
      </c>
      <c r="L1288" s="15">
        <v>5</v>
      </c>
      <c r="M1288" s="188">
        <v>477.6</v>
      </c>
      <c r="N1288" s="172" t="s">
        <v>11</v>
      </c>
    </row>
    <row r="1289" spans="1:14" x14ac:dyDescent="0.25">
      <c r="A1289" s="63" t="s">
        <v>8</v>
      </c>
      <c r="B1289" s="77" t="s">
        <v>3126</v>
      </c>
      <c r="C1289" s="2">
        <v>4099854373404</v>
      </c>
      <c r="D1289" s="95">
        <v>4058075760578</v>
      </c>
      <c r="E1289" s="96" t="s">
        <v>3127</v>
      </c>
      <c r="F1289" s="22"/>
      <c r="G1289" s="156" t="str">
        <f>HYPERLINK("https://ledvance.com/pt/product-datasheet/336790/324044","Ficha Técnica")</f>
        <v>Ficha Técnica</v>
      </c>
      <c r="H1289" s="15">
        <v>1</v>
      </c>
      <c r="I1289" s="163">
        <v>19900</v>
      </c>
      <c r="J1289" s="15">
        <v>130</v>
      </c>
      <c r="K1289" s="163" t="s">
        <v>249</v>
      </c>
      <c r="L1289" s="15">
        <v>5</v>
      </c>
      <c r="M1289" s="188">
        <v>477.6</v>
      </c>
      <c r="N1289" s="172" t="s">
        <v>11</v>
      </c>
    </row>
    <row r="1290" spans="1:14" x14ac:dyDescent="0.25">
      <c r="A1290" s="63" t="s">
        <v>8</v>
      </c>
      <c r="B1290" s="77" t="s">
        <v>3128</v>
      </c>
      <c r="C1290" s="2">
        <v>4099854373435</v>
      </c>
      <c r="D1290" s="95">
        <v>4058075760790</v>
      </c>
      <c r="E1290" s="96" t="s">
        <v>3129</v>
      </c>
      <c r="F1290" s="22"/>
      <c r="G1290" s="156" t="str">
        <f>HYPERLINK("https://ledvance.com/pt/product-datasheet/336794/324046","Ficha Técnica")</f>
        <v>Ficha Técnica</v>
      </c>
      <c r="H1290" s="15">
        <v>1</v>
      </c>
      <c r="I1290" s="163">
        <v>20800</v>
      </c>
      <c r="J1290" s="15">
        <v>130</v>
      </c>
      <c r="K1290" s="163" t="s">
        <v>249</v>
      </c>
      <c r="L1290" s="15">
        <v>5</v>
      </c>
      <c r="M1290" s="188">
        <v>477.6</v>
      </c>
      <c r="N1290" s="172" t="s">
        <v>11</v>
      </c>
    </row>
    <row r="1291" spans="1:14" x14ac:dyDescent="0.25">
      <c r="A1291" s="63" t="s">
        <v>8</v>
      </c>
      <c r="B1291" s="77" t="s">
        <v>3130</v>
      </c>
      <c r="C1291" s="2">
        <v>4099854373459</v>
      </c>
      <c r="D1291" s="95">
        <v>4058075760738</v>
      </c>
      <c r="E1291" s="96" t="s">
        <v>3131</v>
      </c>
      <c r="F1291" s="22"/>
      <c r="G1291" s="156" t="str">
        <f>HYPERLINK("https://ledvance.com/pt/product-datasheet/336793/324049","Ficha Técnica")</f>
        <v>Ficha Técnica</v>
      </c>
      <c r="H1291" s="15">
        <v>1</v>
      </c>
      <c r="I1291" s="163">
        <v>20800</v>
      </c>
      <c r="J1291" s="15">
        <v>130</v>
      </c>
      <c r="K1291" s="163" t="s">
        <v>249</v>
      </c>
      <c r="L1291" s="15">
        <v>5</v>
      </c>
      <c r="M1291" s="188">
        <v>477.6</v>
      </c>
      <c r="N1291" s="172" t="s">
        <v>11</v>
      </c>
    </row>
    <row r="1292" spans="1:14" x14ac:dyDescent="0.25">
      <c r="A1292" s="63" t="s">
        <v>8</v>
      </c>
      <c r="B1292" s="77" t="s">
        <v>3132</v>
      </c>
      <c r="C1292" s="2">
        <v>4099854373503</v>
      </c>
      <c r="D1292" s="95">
        <v>4058075760684</v>
      </c>
      <c r="E1292" s="96" t="s">
        <v>3133</v>
      </c>
      <c r="F1292" s="22"/>
      <c r="G1292" s="156" t="str">
        <f>HYPERLINK("https://ledvance.com/pt/product-datasheet/336789/324051","Ficha Técnica")</f>
        <v>Ficha Técnica</v>
      </c>
      <c r="H1292" s="15">
        <v>1</v>
      </c>
      <c r="I1292" s="163">
        <v>25500</v>
      </c>
      <c r="J1292" s="15">
        <v>180</v>
      </c>
      <c r="K1292" s="163" t="s">
        <v>249</v>
      </c>
      <c r="L1292" s="15">
        <v>5</v>
      </c>
      <c r="M1292" s="188">
        <v>619.29999999999995</v>
      </c>
      <c r="N1292" s="172" t="s">
        <v>11</v>
      </c>
    </row>
    <row r="1293" spans="1:14" x14ac:dyDescent="0.25">
      <c r="A1293" s="63" t="s">
        <v>8</v>
      </c>
      <c r="B1293" s="77" t="s">
        <v>3134</v>
      </c>
      <c r="C1293" s="2">
        <v>4099854373527</v>
      </c>
      <c r="D1293" s="95">
        <v>4058075760585</v>
      </c>
      <c r="E1293" s="96" t="s">
        <v>3135</v>
      </c>
      <c r="F1293" s="22"/>
      <c r="G1293" s="156" t="str">
        <f>HYPERLINK("https://ledvance.com/pt/product-datasheet/336790/324054","Ficha Técnica")</f>
        <v>Ficha Técnica</v>
      </c>
      <c r="H1293" s="15">
        <v>1</v>
      </c>
      <c r="I1293" s="163">
        <v>25700</v>
      </c>
      <c r="J1293" s="15">
        <v>180</v>
      </c>
      <c r="K1293" s="163" t="s">
        <v>249</v>
      </c>
      <c r="L1293" s="15">
        <v>5</v>
      </c>
      <c r="M1293" s="188">
        <v>619.29999999999995</v>
      </c>
      <c r="N1293" s="172" t="s">
        <v>11</v>
      </c>
    </row>
    <row r="1294" spans="1:14" x14ac:dyDescent="0.25">
      <c r="A1294" s="63" t="s">
        <v>8</v>
      </c>
      <c r="B1294" s="77" t="s">
        <v>3136</v>
      </c>
      <c r="C1294" s="2">
        <v>4099854373534</v>
      </c>
      <c r="D1294" s="95">
        <v>4058075760837</v>
      </c>
      <c r="E1294" s="96" t="s">
        <v>3137</v>
      </c>
      <c r="F1294" s="22"/>
      <c r="G1294" s="156" t="str">
        <f>HYPERLINK("https://ledvance.com/pt/product-datasheet/336794/324056","Ficha Técnica")</f>
        <v>Ficha Técnica</v>
      </c>
      <c r="H1294" s="15">
        <v>1</v>
      </c>
      <c r="I1294" s="163">
        <v>27000</v>
      </c>
      <c r="J1294" s="15">
        <v>180</v>
      </c>
      <c r="K1294" s="163" t="s">
        <v>249</v>
      </c>
      <c r="L1294" s="15">
        <v>5</v>
      </c>
      <c r="M1294" s="188">
        <v>619.29999999999995</v>
      </c>
      <c r="N1294" s="172" t="s">
        <v>11</v>
      </c>
    </row>
    <row r="1295" spans="1:14" x14ac:dyDescent="0.25">
      <c r="A1295" s="63" t="s">
        <v>8</v>
      </c>
      <c r="B1295" s="77" t="s">
        <v>3138</v>
      </c>
      <c r="C1295" s="2">
        <v>4099854373558</v>
      </c>
      <c r="D1295" s="95">
        <v>4058075760745</v>
      </c>
      <c r="E1295" s="96" t="s">
        <v>3139</v>
      </c>
      <c r="F1295" s="22"/>
      <c r="G1295" s="156" t="str">
        <f>HYPERLINK("https://ledvance.com/pt/product-datasheet/336793/324058","Ficha Técnica")</f>
        <v>Ficha Técnica</v>
      </c>
      <c r="H1295" s="15">
        <v>1</v>
      </c>
      <c r="I1295" s="163">
        <v>27000</v>
      </c>
      <c r="J1295" s="15">
        <v>180</v>
      </c>
      <c r="K1295" s="163" t="s">
        <v>249</v>
      </c>
      <c r="L1295" s="15">
        <v>5</v>
      </c>
      <c r="M1295" s="188">
        <v>619.29999999999995</v>
      </c>
      <c r="N1295" s="172" t="s">
        <v>11</v>
      </c>
    </row>
    <row r="1296" spans="1:14" x14ac:dyDescent="0.25">
      <c r="A1296" s="63" t="s">
        <v>8</v>
      </c>
      <c r="B1296" s="77" t="s">
        <v>3140</v>
      </c>
      <c r="C1296" s="2">
        <v>4099854373626</v>
      </c>
      <c r="D1296" s="95">
        <v>4058075760691</v>
      </c>
      <c r="E1296" s="96" t="s">
        <v>3141</v>
      </c>
      <c r="F1296" s="22"/>
      <c r="G1296" s="156" t="str">
        <f>HYPERLINK("https://ledvance.com/pt/product-datasheet/336789/324060","Ficha Técnica")</f>
        <v>Ficha Técnica</v>
      </c>
      <c r="H1296" s="15">
        <v>1</v>
      </c>
      <c r="I1296" s="163">
        <v>27500</v>
      </c>
      <c r="J1296" s="15">
        <v>180</v>
      </c>
      <c r="K1296" s="163" t="s">
        <v>249</v>
      </c>
      <c r="L1296" s="15">
        <v>5</v>
      </c>
      <c r="M1296" s="188">
        <v>619.29999999999995</v>
      </c>
      <c r="N1296" s="172" t="s">
        <v>11</v>
      </c>
    </row>
    <row r="1297" spans="1:14" x14ac:dyDescent="0.25">
      <c r="A1297" s="63" t="s">
        <v>8</v>
      </c>
      <c r="B1297" s="77" t="s">
        <v>3142</v>
      </c>
      <c r="C1297" s="2">
        <v>4099854373640</v>
      </c>
      <c r="D1297" s="95">
        <v>4058075760592</v>
      </c>
      <c r="E1297" s="96" t="s">
        <v>3143</v>
      </c>
      <c r="F1297" s="22"/>
      <c r="G1297" s="156" t="str">
        <f>HYPERLINK("https://ledvance.com/pt/product-datasheet/336790/324063","Ficha Técnica")</f>
        <v>Ficha Técnica</v>
      </c>
      <c r="H1297" s="15">
        <v>1</v>
      </c>
      <c r="I1297" s="163">
        <v>27700</v>
      </c>
      <c r="J1297" s="15">
        <v>180</v>
      </c>
      <c r="K1297" s="163" t="s">
        <v>249</v>
      </c>
      <c r="L1297" s="15">
        <v>5</v>
      </c>
      <c r="M1297" s="188">
        <v>619.29999999999995</v>
      </c>
      <c r="N1297" s="172" t="s">
        <v>11</v>
      </c>
    </row>
    <row r="1298" spans="1:14" x14ac:dyDescent="0.25">
      <c r="A1298" s="63" t="s">
        <v>8</v>
      </c>
      <c r="B1298" s="77" t="s">
        <v>3144</v>
      </c>
      <c r="C1298" s="2">
        <v>4099854373657</v>
      </c>
      <c r="D1298" s="95">
        <v>4058075760844</v>
      </c>
      <c r="E1298" s="96" t="s">
        <v>3145</v>
      </c>
      <c r="F1298" s="22"/>
      <c r="G1298" s="156" t="str">
        <f>HYPERLINK("https://ledvance.com/pt/product-datasheet/336794/324065","Ficha Técnica")</f>
        <v>Ficha Técnica</v>
      </c>
      <c r="H1298" s="15">
        <v>1</v>
      </c>
      <c r="I1298" s="163">
        <v>28000</v>
      </c>
      <c r="J1298" s="15">
        <v>180</v>
      </c>
      <c r="K1298" s="163" t="s">
        <v>249</v>
      </c>
      <c r="L1298" s="15">
        <v>5</v>
      </c>
      <c r="M1298" s="188">
        <v>619.29999999999995</v>
      </c>
      <c r="N1298" s="172" t="s">
        <v>11</v>
      </c>
    </row>
    <row r="1299" spans="1:14" x14ac:dyDescent="0.25">
      <c r="A1299" s="63" t="s">
        <v>8</v>
      </c>
      <c r="B1299" s="77" t="s">
        <v>3146</v>
      </c>
      <c r="C1299" s="2">
        <v>4099854373671</v>
      </c>
      <c r="D1299" s="95">
        <v>4058075760752</v>
      </c>
      <c r="E1299" s="96" t="s">
        <v>3147</v>
      </c>
      <c r="F1299" s="22"/>
      <c r="G1299" s="156" t="str">
        <f>HYPERLINK("https://ledvance.com/pt/product-datasheet/336793/324067","Ficha Técnica")</f>
        <v>Ficha Técnica</v>
      </c>
      <c r="H1299" s="15">
        <v>1</v>
      </c>
      <c r="I1299" s="163">
        <v>28000</v>
      </c>
      <c r="J1299" s="15">
        <v>180</v>
      </c>
      <c r="K1299" s="163" t="s">
        <v>249</v>
      </c>
      <c r="L1299" s="15">
        <v>5</v>
      </c>
      <c r="M1299" s="188">
        <v>619.29999999999995</v>
      </c>
      <c r="N1299" s="172" t="s">
        <v>11</v>
      </c>
    </row>
    <row r="1300" spans="1:14" x14ac:dyDescent="0.25">
      <c r="A1300" s="63" t="s">
        <v>8</v>
      </c>
      <c r="B1300" s="77" t="s">
        <v>3148</v>
      </c>
      <c r="C1300" s="2">
        <v>4099854373701</v>
      </c>
      <c r="D1300" s="95">
        <v>4058075760707</v>
      </c>
      <c r="E1300" s="96" t="s">
        <v>3149</v>
      </c>
      <c r="F1300" s="22"/>
      <c r="G1300" s="156" t="str">
        <f>HYPERLINK("https://ledvance.com/pt/product-datasheet/336789/324069","Ficha Técnica")</f>
        <v>Ficha Técnica</v>
      </c>
      <c r="H1300" s="15">
        <v>1</v>
      </c>
      <c r="I1300" s="163">
        <v>37000</v>
      </c>
      <c r="J1300" s="15">
        <v>250</v>
      </c>
      <c r="K1300" s="163" t="s">
        <v>249</v>
      </c>
      <c r="L1300" s="15">
        <v>5</v>
      </c>
      <c r="M1300" s="188">
        <v>867</v>
      </c>
      <c r="N1300" s="172" t="s">
        <v>11</v>
      </c>
    </row>
    <row r="1301" spans="1:14" x14ac:dyDescent="0.25">
      <c r="A1301" s="63" t="s">
        <v>8</v>
      </c>
      <c r="B1301" s="77" t="s">
        <v>3150</v>
      </c>
      <c r="C1301" s="2">
        <v>4099854373718</v>
      </c>
      <c r="D1301" s="95">
        <v>4058075760608</v>
      </c>
      <c r="E1301" s="96" t="s">
        <v>3151</v>
      </c>
      <c r="F1301" s="22"/>
      <c r="G1301" s="156" t="str">
        <f>HYPERLINK("https://ledvance.com/pt/product-datasheet/336790/324071","Ficha Técnica")</f>
        <v>Ficha Técnica</v>
      </c>
      <c r="H1301" s="15">
        <v>1</v>
      </c>
      <c r="I1301" s="163">
        <v>37000</v>
      </c>
      <c r="J1301" s="15">
        <v>250</v>
      </c>
      <c r="K1301" s="163" t="s">
        <v>249</v>
      </c>
      <c r="L1301" s="15">
        <v>5</v>
      </c>
      <c r="M1301" s="188">
        <v>867</v>
      </c>
      <c r="N1301" s="172" t="s">
        <v>11</v>
      </c>
    </row>
    <row r="1302" spans="1:14" x14ac:dyDescent="0.25">
      <c r="A1302" s="63" t="s">
        <v>8</v>
      </c>
      <c r="B1302" s="77" t="s">
        <v>3152</v>
      </c>
      <c r="C1302" s="2">
        <v>4099854373749</v>
      </c>
      <c r="D1302" s="95">
        <v>4058075760851</v>
      </c>
      <c r="E1302" s="96" t="s">
        <v>3153</v>
      </c>
      <c r="F1302" s="22"/>
      <c r="G1302" s="156" t="str">
        <f>HYPERLINK("https://ledvance.com/pt/product-datasheet/336794/324073","Ficha Técnica")</f>
        <v>Ficha Técnica</v>
      </c>
      <c r="H1302" s="15">
        <v>1</v>
      </c>
      <c r="I1302" s="163">
        <v>37500</v>
      </c>
      <c r="J1302" s="15">
        <v>250</v>
      </c>
      <c r="K1302" s="163" t="s">
        <v>249</v>
      </c>
      <c r="L1302" s="15">
        <v>5</v>
      </c>
      <c r="M1302" s="188">
        <v>867</v>
      </c>
      <c r="N1302" s="172" t="s">
        <v>11</v>
      </c>
    </row>
    <row r="1303" spans="1:14" x14ac:dyDescent="0.25">
      <c r="A1303" s="63" t="s">
        <v>8</v>
      </c>
      <c r="B1303" s="77" t="s">
        <v>3154</v>
      </c>
      <c r="C1303" s="2">
        <v>4099854373756</v>
      </c>
      <c r="D1303" s="95">
        <v>4058075760769</v>
      </c>
      <c r="E1303" s="96" t="s">
        <v>3155</v>
      </c>
      <c r="F1303" s="22"/>
      <c r="G1303" s="156" t="str">
        <f>HYPERLINK("https://ledvance.com/pt/product-datasheet/336793/324075","Ficha Técnica")</f>
        <v>Ficha Técnica</v>
      </c>
      <c r="H1303" s="15">
        <v>1</v>
      </c>
      <c r="I1303" s="163">
        <v>37500</v>
      </c>
      <c r="J1303" s="15">
        <v>250</v>
      </c>
      <c r="K1303" s="163" t="s">
        <v>249</v>
      </c>
      <c r="L1303" s="15">
        <v>5</v>
      </c>
      <c r="M1303" s="188">
        <v>867</v>
      </c>
      <c r="N1303" s="172" t="s">
        <v>11</v>
      </c>
    </row>
    <row r="1304" spans="1:14" x14ac:dyDescent="0.25">
      <c r="A1304" s="63" t="s">
        <v>8</v>
      </c>
      <c r="B1304" s="77" t="s">
        <v>3156</v>
      </c>
      <c r="C1304" s="2">
        <v>4099854373787</v>
      </c>
      <c r="D1304" s="95">
        <v>4058075760714</v>
      </c>
      <c r="E1304" s="96" t="s">
        <v>3157</v>
      </c>
      <c r="F1304" s="22"/>
      <c r="G1304" s="156" t="str">
        <f>HYPERLINK("https://ledvance.com/pt/product-datasheet/336789/324077","Ficha Técnica")</f>
        <v>Ficha Técnica</v>
      </c>
      <c r="H1304" s="15">
        <v>1</v>
      </c>
      <c r="I1304" s="163">
        <v>39000</v>
      </c>
      <c r="J1304" s="15">
        <v>250</v>
      </c>
      <c r="K1304" s="163" t="s">
        <v>249</v>
      </c>
      <c r="L1304" s="15">
        <v>5</v>
      </c>
      <c r="M1304" s="188">
        <v>867</v>
      </c>
      <c r="N1304" s="172" t="s">
        <v>11</v>
      </c>
    </row>
    <row r="1305" spans="1:14" x14ac:dyDescent="0.25">
      <c r="A1305" s="63" t="s">
        <v>8</v>
      </c>
      <c r="B1305" s="77" t="s">
        <v>3158</v>
      </c>
      <c r="C1305" s="2">
        <v>4099854373817</v>
      </c>
      <c r="D1305" s="95">
        <v>4058075760615</v>
      </c>
      <c r="E1305" s="96" t="s">
        <v>3159</v>
      </c>
      <c r="F1305" s="22"/>
      <c r="G1305" s="156" t="str">
        <f>HYPERLINK("https://ledvance.com/pt/product-datasheet/336790/324080","Ficha Técnica")</f>
        <v>Ficha Técnica</v>
      </c>
      <c r="H1305" s="15">
        <v>1</v>
      </c>
      <c r="I1305" s="163">
        <v>39000</v>
      </c>
      <c r="J1305" s="15">
        <v>250</v>
      </c>
      <c r="K1305" s="163" t="s">
        <v>249</v>
      </c>
      <c r="L1305" s="15">
        <v>5</v>
      </c>
      <c r="M1305" s="188">
        <v>867</v>
      </c>
      <c r="N1305" s="172" t="s">
        <v>11</v>
      </c>
    </row>
    <row r="1306" spans="1:14" x14ac:dyDescent="0.25">
      <c r="A1306" s="63" t="s">
        <v>8</v>
      </c>
      <c r="B1306" s="77" t="s">
        <v>3160</v>
      </c>
      <c r="C1306" s="2">
        <v>4099854373831</v>
      </c>
      <c r="D1306" s="95">
        <v>4058075760868</v>
      </c>
      <c r="E1306" s="96" t="s">
        <v>3161</v>
      </c>
      <c r="F1306" s="22"/>
      <c r="G1306" s="156" t="str">
        <f>HYPERLINK("https://ledvance.com/pt/product-datasheet/336794/324082","Ficha Técnica")</f>
        <v>Ficha Técnica</v>
      </c>
      <c r="H1306" s="15">
        <v>1</v>
      </c>
      <c r="I1306" s="163">
        <v>39500</v>
      </c>
      <c r="J1306" s="15">
        <v>250</v>
      </c>
      <c r="K1306" s="163" t="s">
        <v>249</v>
      </c>
      <c r="L1306" s="15">
        <v>5</v>
      </c>
      <c r="M1306" s="188">
        <v>867</v>
      </c>
      <c r="N1306" s="172" t="s">
        <v>11</v>
      </c>
    </row>
    <row r="1307" spans="1:14" x14ac:dyDescent="0.25">
      <c r="A1307" s="63" t="s">
        <v>8</v>
      </c>
      <c r="B1307" s="77" t="s">
        <v>3162</v>
      </c>
      <c r="C1307" s="2">
        <v>4099854373855</v>
      </c>
      <c r="D1307" s="95">
        <v>4058075760776</v>
      </c>
      <c r="E1307" s="96" t="s">
        <v>3163</v>
      </c>
      <c r="F1307" s="22"/>
      <c r="G1307" s="156" t="str">
        <f>HYPERLINK("https://ledvance.com/pt/product-datasheet/336793/324084","Ficha Técnica")</f>
        <v>Ficha Técnica</v>
      </c>
      <c r="H1307" s="15">
        <v>1</v>
      </c>
      <c r="I1307" s="163">
        <v>39500</v>
      </c>
      <c r="J1307" s="15">
        <v>250</v>
      </c>
      <c r="K1307" s="163" t="s">
        <v>249</v>
      </c>
      <c r="L1307" s="15">
        <v>5</v>
      </c>
      <c r="M1307" s="188">
        <v>867</v>
      </c>
      <c r="N1307" s="172" t="s">
        <v>11</v>
      </c>
    </row>
    <row r="1308" spans="1:14" x14ac:dyDescent="0.25">
      <c r="A1308" s="63" t="s">
        <v>8</v>
      </c>
      <c r="B1308" s="77" t="s">
        <v>3164</v>
      </c>
      <c r="C1308" s="2">
        <v>4099854373879</v>
      </c>
      <c r="D1308" s="93"/>
      <c r="E1308" s="61"/>
      <c r="F1308" s="22"/>
      <c r="G1308" s="156" t="str">
        <f>HYPERLINK("https://ledvance.com/pt/product-datasheet/336789/324086","Ficha Técnica")</f>
        <v>Ficha Técnica</v>
      </c>
      <c r="H1308" s="15">
        <v>1</v>
      </c>
      <c r="I1308" s="163">
        <v>52000</v>
      </c>
      <c r="J1308" s="15">
        <v>360</v>
      </c>
      <c r="K1308" s="163" t="s">
        <v>249</v>
      </c>
      <c r="L1308" s="15">
        <v>5</v>
      </c>
      <c r="M1308" s="188">
        <v>1176.5</v>
      </c>
      <c r="N1308" s="172" t="s">
        <v>11</v>
      </c>
    </row>
    <row r="1309" spans="1:14" x14ac:dyDescent="0.25">
      <c r="A1309" s="63" t="s">
        <v>8</v>
      </c>
      <c r="B1309" s="77" t="s">
        <v>3165</v>
      </c>
      <c r="C1309" s="2">
        <v>4099854373893</v>
      </c>
      <c r="D1309" s="93"/>
      <c r="E1309" s="61"/>
      <c r="F1309" s="22"/>
      <c r="G1309" s="156" t="str">
        <f>HYPERLINK("https://ledvance.com/pt/product-datasheet/336790/324089","Ficha Técnica")</f>
        <v>Ficha Técnica</v>
      </c>
      <c r="H1309" s="15">
        <v>1</v>
      </c>
      <c r="I1309" s="163">
        <v>52000</v>
      </c>
      <c r="J1309" s="15">
        <v>360</v>
      </c>
      <c r="K1309" s="163" t="s">
        <v>249</v>
      </c>
      <c r="L1309" s="15">
        <v>5</v>
      </c>
      <c r="M1309" s="188">
        <v>1176.5</v>
      </c>
      <c r="N1309" s="172" t="s">
        <v>11</v>
      </c>
    </row>
    <row r="1310" spans="1:14" x14ac:dyDescent="0.25">
      <c r="A1310" s="63" t="s">
        <v>8</v>
      </c>
      <c r="B1310" s="77" t="s">
        <v>3166</v>
      </c>
      <c r="C1310" s="2">
        <v>4099854373909</v>
      </c>
      <c r="D1310" s="93"/>
      <c r="E1310" s="61"/>
      <c r="F1310" s="22"/>
      <c r="G1310" s="156" t="str">
        <f>HYPERLINK("https://ledvance.com/pt/product-datasheet/336791/324091","Ficha Técnica")</f>
        <v>Ficha Técnica</v>
      </c>
      <c r="H1310" s="15">
        <v>1</v>
      </c>
      <c r="I1310" s="163">
        <v>48000</v>
      </c>
      <c r="J1310" s="15">
        <v>360</v>
      </c>
      <c r="K1310" s="163" t="s">
        <v>249</v>
      </c>
      <c r="L1310" s="15">
        <v>5</v>
      </c>
      <c r="M1310" s="188">
        <v>1176.5</v>
      </c>
      <c r="N1310" s="172" t="s">
        <v>11</v>
      </c>
    </row>
    <row r="1311" spans="1:14" x14ac:dyDescent="0.25">
      <c r="A1311" s="63" t="s">
        <v>8</v>
      </c>
      <c r="B1311" s="77" t="s">
        <v>3167</v>
      </c>
      <c r="C1311" s="2">
        <v>4099854373916</v>
      </c>
      <c r="D1311" s="93"/>
      <c r="E1311" s="61"/>
      <c r="F1311" s="22"/>
      <c r="G1311" s="156" t="str">
        <f>HYPERLINK("https://ledvance.com/pt/product-datasheet/336792/324093","Ficha Técnica")</f>
        <v>Ficha Técnica</v>
      </c>
      <c r="H1311" s="15">
        <v>1</v>
      </c>
      <c r="I1311" s="163">
        <v>48500</v>
      </c>
      <c r="J1311" s="15">
        <v>360</v>
      </c>
      <c r="K1311" s="163" t="s">
        <v>249</v>
      </c>
      <c r="L1311" s="15">
        <v>5</v>
      </c>
      <c r="M1311" s="188">
        <v>1176.5</v>
      </c>
      <c r="N1311" s="172" t="s">
        <v>11</v>
      </c>
    </row>
    <row r="1312" spans="1:14" x14ac:dyDescent="0.25">
      <c r="A1312" s="63" t="s">
        <v>8</v>
      </c>
      <c r="B1312" s="77" t="s">
        <v>3168</v>
      </c>
      <c r="C1312" s="2">
        <v>4099854373923</v>
      </c>
      <c r="D1312" s="93"/>
      <c r="E1312" s="61"/>
      <c r="F1312" s="22"/>
      <c r="G1312" s="156" t="str">
        <f>HYPERLINK("https://ledvance.com/pt/product-datasheet/336789/324098","Ficha Técnica")</f>
        <v>Ficha Técnica</v>
      </c>
      <c r="H1312" s="15">
        <v>1</v>
      </c>
      <c r="I1312" s="163">
        <v>56000</v>
      </c>
      <c r="J1312" s="15">
        <v>360</v>
      </c>
      <c r="K1312" s="163" t="s">
        <v>249</v>
      </c>
      <c r="L1312" s="15">
        <v>5</v>
      </c>
      <c r="M1312" s="188">
        <v>1176.5</v>
      </c>
      <c r="N1312" s="172" t="s">
        <v>11</v>
      </c>
    </row>
    <row r="1313" spans="1:14" x14ac:dyDescent="0.25">
      <c r="A1313" s="63" t="s">
        <v>8</v>
      </c>
      <c r="B1313" s="77" t="s">
        <v>3169</v>
      </c>
      <c r="C1313" s="2">
        <v>4099854373930</v>
      </c>
      <c r="D1313" s="93"/>
      <c r="E1313" s="61"/>
      <c r="F1313" s="22"/>
      <c r="G1313" s="156" t="str">
        <f>HYPERLINK("https://ledvance.com/pt/product-datasheet/336790/324100","Ficha Técnica")</f>
        <v>Ficha Técnica</v>
      </c>
      <c r="H1313" s="15">
        <v>1</v>
      </c>
      <c r="I1313" s="163">
        <v>56000</v>
      </c>
      <c r="J1313" s="15">
        <v>360</v>
      </c>
      <c r="K1313" s="163" t="s">
        <v>249</v>
      </c>
      <c r="L1313" s="15">
        <v>5</v>
      </c>
      <c r="M1313" s="188">
        <v>1176.5</v>
      </c>
      <c r="N1313" s="172" t="s">
        <v>11</v>
      </c>
    </row>
    <row r="1314" spans="1:14" x14ac:dyDescent="0.25">
      <c r="A1314" s="63" t="s">
        <v>8</v>
      </c>
      <c r="B1314" s="77" t="s">
        <v>3170</v>
      </c>
      <c r="C1314" s="2">
        <v>4099854373954</v>
      </c>
      <c r="D1314" s="93"/>
      <c r="E1314" s="61"/>
      <c r="F1314" s="22"/>
      <c r="G1314" s="156" t="str">
        <f>HYPERLINK("https://ledvance.com/pt/product-datasheet/336791/324102","Ficha Técnica")</f>
        <v>Ficha Técnica</v>
      </c>
      <c r="H1314" s="15">
        <v>1</v>
      </c>
      <c r="I1314" s="163">
        <v>52000</v>
      </c>
      <c r="J1314" s="15">
        <v>360</v>
      </c>
      <c r="K1314" s="163" t="s">
        <v>249</v>
      </c>
      <c r="L1314" s="15">
        <v>5</v>
      </c>
      <c r="M1314" s="188">
        <v>1176.5</v>
      </c>
      <c r="N1314" s="172" t="s">
        <v>11</v>
      </c>
    </row>
    <row r="1315" spans="1:14" x14ac:dyDescent="0.25">
      <c r="A1315" s="63" t="s">
        <v>8</v>
      </c>
      <c r="B1315" s="77" t="s">
        <v>3171</v>
      </c>
      <c r="C1315" s="2">
        <v>4099854373978</v>
      </c>
      <c r="D1315" s="93"/>
      <c r="E1315" s="61"/>
      <c r="F1315" s="22"/>
      <c r="G1315" s="156" t="str">
        <f>HYPERLINK("https://ledvance.com/pt/product-datasheet/336792/324104","Ficha Técnica")</f>
        <v>Ficha Técnica</v>
      </c>
      <c r="H1315" s="15">
        <v>1</v>
      </c>
      <c r="I1315" s="163">
        <v>52500</v>
      </c>
      <c r="J1315" s="15">
        <v>360</v>
      </c>
      <c r="K1315" s="163" t="s">
        <v>249</v>
      </c>
      <c r="L1315" s="15">
        <v>5</v>
      </c>
      <c r="M1315" s="188">
        <v>1176.5</v>
      </c>
      <c r="N1315" s="172" t="s">
        <v>11</v>
      </c>
    </row>
    <row r="1316" spans="1:14" x14ac:dyDescent="0.25">
      <c r="A1316" s="63" t="s">
        <v>8</v>
      </c>
      <c r="B1316" s="77" t="s">
        <v>3172</v>
      </c>
      <c r="C1316" s="2">
        <v>4099854373992</v>
      </c>
      <c r="D1316" s="93"/>
      <c r="E1316" s="61"/>
      <c r="F1316" s="22"/>
      <c r="G1316" s="156" t="str">
        <f>HYPERLINK("https://ledvance.com/pt/product-datasheet/336789/324106","Ficha Técnica")</f>
        <v>Ficha Técnica</v>
      </c>
      <c r="H1316" s="15">
        <v>1</v>
      </c>
      <c r="I1316" s="163">
        <v>65000</v>
      </c>
      <c r="J1316" s="15">
        <v>450</v>
      </c>
      <c r="K1316" s="163" t="s">
        <v>249</v>
      </c>
      <c r="L1316" s="15">
        <v>5</v>
      </c>
      <c r="M1316" s="188">
        <v>1369.9</v>
      </c>
      <c r="N1316" s="172" t="s">
        <v>11</v>
      </c>
    </row>
    <row r="1317" spans="1:14" x14ac:dyDescent="0.25">
      <c r="A1317" s="63" t="s">
        <v>8</v>
      </c>
      <c r="B1317" s="77" t="s">
        <v>3173</v>
      </c>
      <c r="C1317" s="2">
        <v>4099854374012</v>
      </c>
      <c r="D1317" s="93"/>
      <c r="E1317" s="61"/>
      <c r="F1317" s="22"/>
      <c r="G1317" s="156" t="str">
        <f>HYPERLINK("https://ledvance.com/pt/product-datasheet/336791/324108","Ficha Técnica")</f>
        <v>Ficha Técnica</v>
      </c>
      <c r="H1317" s="15">
        <v>1</v>
      </c>
      <c r="I1317" s="163">
        <v>60000</v>
      </c>
      <c r="J1317" s="15">
        <v>450</v>
      </c>
      <c r="K1317" s="163" t="s">
        <v>249</v>
      </c>
      <c r="L1317" s="15">
        <v>5</v>
      </c>
      <c r="M1317" s="188">
        <v>1369.9</v>
      </c>
      <c r="N1317" s="172" t="s">
        <v>11</v>
      </c>
    </row>
    <row r="1318" spans="1:14" x14ac:dyDescent="0.25">
      <c r="A1318" s="63" t="s">
        <v>8</v>
      </c>
      <c r="B1318" s="77" t="s">
        <v>3174</v>
      </c>
      <c r="C1318" s="2">
        <v>4099854374036</v>
      </c>
      <c r="D1318" s="93"/>
      <c r="E1318" s="61"/>
      <c r="F1318" s="22"/>
      <c r="G1318" s="156" t="str">
        <f>HYPERLINK("https://ledvance.com/pt/product-datasheet/336790/324110","Ficha Técnica")</f>
        <v>Ficha Técnica</v>
      </c>
      <c r="H1318" s="15">
        <v>1</v>
      </c>
      <c r="I1318" s="163">
        <v>65000</v>
      </c>
      <c r="J1318" s="15">
        <v>450</v>
      </c>
      <c r="K1318" s="163" t="s">
        <v>249</v>
      </c>
      <c r="L1318" s="15">
        <v>5</v>
      </c>
      <c r="M1318" s="188">
        <v>1369.9</v>
      </c>
      <c r="N1318" s="172" t="s">
        <v>11</v>
      </c>
    </row>
    <row r="1319" spans="1:14" x14ac:dyDescent="0.25">
      <c r="A1319" s="63" t="s">
        <v>8</v>
      </c>
      <c r="B1319" s="77" t="s">
        <v>3175</v>
      </c>
      <c r="C1319" s="2">
        <v>4099854374050</v>
      </c>
      <c r="D1319" s="93"/>
      <c r="E1319" s="61"/>
      <c r="F1319" s="22"/>
      <c r="G1319" s="156" t="str">
        <f>HYPERLINK("https://ledvance.com/pt/product-datasheet/336792/324112","Ficha Técnica")</f>
        <v>Ficha Técnica</v>
      </c>
      <c r="H1319" s="15">
        <v>1</v>
      </c>
      <c r="I1319" s="163">
        <v>61000</v>
      </c>
      <c r="J1319" s="15">
        <v>450</v>
      </c>
      <c r="K1319" s="163" t="s">
        <v>249</v>
      </c>
      <c r="L1319" s="15">
        <v>5</v>
      </c>
      <c r="M1319" s="188">
        <v>1369.9</v>
      </c>
      <c r="N1319" s="172" t="s">
        <v>11</v>
      </c>
    </row>
    <row r="1320" spans="1:14" x14ac:dyDescent="0.25">
      <c r="A1320" s="63" t="s">
        <v>8</v>
      </c>
      <c r="B1320" s="77" t="s">
        <v>3176</v>
      </c>
      <c r="C1320" s="2">
        <v>4099854374067</v>
      </c>
      <c r="D1320" s="93"/>
      <c r="E1320" s="61"/>
      <c r="F1320" s="22"/>
      <c r="G1320" s="156" t="str">
        <f>HYPERLINK("https://ledvance.com/pt/product-datasheet/336789/324114","Ficha Técnica")</f>
        <v>Ficha Técnica</v>
      </c>
      <c r="H1320" s="15">
        <v>1</v>
      </c>
      <c r="I1320" s="163">
        <v>70000</v>
      </c>
      <c r="J1320" s="15">
        <v>450</v>
      </c>
      <c r="K1320" s="163" t="s">
        <v>249</v>
      </c>
      <c r="L1320" s="15">
        <v>5</v>
      </c>
      <c r="M1320" s="188">
        <v>1369.9</v>
      </c>
      <c r="N1320" s="172" t="s">
        <v>11</v>
      </c>
    </row>
    <row r="1321" spans="1:14" x14ac:dyDescent="0.25">
      <c r="A1321" s="63" t="s">
        <v>8</v>
      </c>
      <c r="B1321" s="77" t="s">
        <v>3177</v>
      </c>
      <c r="C1321" s="2">
        <v>4099854374098</v>
      </c>
      <c r="D1321" s="93"/>
      <c r="E1321" s="61"/>
      <c r="F1321" s="22"/>
      <c r="G1321" s="156" t="str">
        <f>HYPERLINK("https://ledvance.com/pt/product-datasheet/336791/324116","Ficha Técnica")</f>
        <v>Ficha Técnica</v>
      </c>
      <c r="H1321" s="15">
        <v>1</v>
      </c>
      <c r="I1321" s="163">
        <v>65000</v>
      </c>
      <c r="J1321" s="15">
        <v>450</v>
      </c>
      <c r="K1321" s="163" t="s">
        <v>249</v>
      </c>
      <c r="L1321" s="15">
        <v>5</v>
      </c>
      <c r="M1321" s="188">
        <v>1369.9</v>
      </c>
      <c r="N1321" s="172" t="s">
        <v>11</v>
      </c>
    </row>
    <row r="1322" spans="1:14" x14ac:dyDescent="0.25">
      <c r="A1322" s="63" t="s">
        <v>8</v>
      </c>
      <c r="B1322" s="77" t="s">
        <v>3178</v>
      </c>
      <c r="C1322" s="2">
        <v>4099854374111</v>
      </c>
      <c r="D1322" s="93"/>
      <c r="E1322" s="61"/>
      <c r="F1322" s="22"/>
      <c r="G1322" s="156" t="str">
        <f>HYPERLINK("https://ledvance.com/pt/product-datasheet/336790/324118","Ficha Técnica")</f>
        <v>Ficha Técnica</v>
      </c>
      <c r="H1322" s="15">
        <v>1</v>
      </c>
      <c r="I1322" s="163">
        <v>70000</v>
      </c>
      <c r="J1322" s="15">
        <v>450</v>
      </c>
      <c r="K1322" s="163" t="s">
        <v>249</v>
      </c>
      <c r="L1322" s="15">
        <v>5</v>
      </c>
      <c r="M1322" s="188">
        <v>1369.9</v>
      </c>
      <c r="N1322" s="172" t="s">
        <v>11</v>
      </c>
    </row>
    <row r="1323" spans="1:14" x14ac:dyDescent="0.25">
      <c r="A1323" s="63" t="s">
        <v>8</v>
      </c>
      <c r="B1323" s="77" t="s">
        <v>3179</v>
      </c>
      <c r="C1323" s="2">
        <v>4099854374128</v>
      </c>
      <c r="D1323" s="93"/>
      <c r="E1323" s="61"/>
      <c r="F1323" s="22"/>
      <c r="G1323" s="156" t="str">
        <f>HYPERLINK("https://ledvance.com/pt/product-datasheet/336792/324120","Ficha Técnica")</f>
        <v>Ficha Técnica</v>
      </c>
      <c r="H1323" s="15">
        <v>1</v>
      </c>
      <c r="I1323" s="163">
        <v>66000</v>
      </c>
      <c r="J1323" s="15">
        <v>450</v>
      </c>
      <c r="K1323" s="163" t="s">
        <v>249</v>
      </c>
      <c r="L1323" s="15">
        <v>5</v>
      </c>
      <c r="M1323" s="188">
        <v>1369.9</v>
      </c>
      <c r="N1323" s="172" t="s">
        <v>11</v>
      </c>
    </row>
    <row r="1324" spans="1:14" x14ac:dyDescent="0.25">
      <c r="A1324" s="66" t="s">
        <v>8</v>
      </c>
      <c r="B1324" s="69" t="s">
        <v>1333</v>
      </c>
      <c r="C1324" s="51"/>
      <c r="D1324" s="65"/>
      <c r="E1324" s="92"/>
      <c r="F1324" s="12"/>
      <c r="G1324" s="157"/>
      <c r="H1324" s="12"/>
      <c r="I1324" s="62"/>
      <c r="J1324" s="27"/>
      <c r="K1324" s="62"/>
      <c r="L1324" s="12"/>
      <c r="M1324" s="191"/>
      <c r="N1324" s="65"/>
    </row>
    <row r="1325" spans="1:14" x14ac:dyDescent="0.25">
      <c r="A1325" s="63" t="s">
        <v>8</v>
      </c>
      <c r="B1325" s="71" t="s">
        <v>3180</v>
      </c>
      <c r="C1325" s="2">
        <v>4099854305689</v>
      </c>
      <c r="D1325" s="95">
        <v>4058075420847</v>
      </c>
      <c r="E1325" s="96" t="s">
        <v>1208</v>
      </c>
      <c r="G1325" s="156" t="str">
        <f>HYPERLINK("https://ledvance.com/pt/product-datasheet/323745/307625","Ficha Técnica")</f>
        <v>Ficha Técnica</v>
      </c>
      <c r="H1325" s="15">
        <v>12</v>
      </c>
      <c r="I1325" s="163" t="s">
        <v>1820</v>
      </c>
      <c r="J1325" s="15" t="s">
        <v>4009</v>
      </c>
      <c r="K1325" s="163" t="s">
        <v>249</v>
      </c>
      <c r="L1325" s="15">
        <v>5</v>
      </c>
      <c r="M1325" s="188">
        <v>20.9</v>
      </c>
      <c r="N1325" s="169" t="s">
        <v>11</v>
      </c>
    </row>
    <row r="1326" spans="1:14" x14ac:dyDescent="0.25">
      <c r="A1326" s="63" t="s">
        <v>8</v>
      </c>
      <c r="B1326" s="71" t="s">
        <v>3181</v>
      </c>
      <c r="C1326" s="2">
        <v>4099854305702</v>
      </c>
      <c r="D1326" s="95">
        <v>4058075420861</v>
      </c>
      <c r="E1326" s="96" t="s">
        <v>1209</v>
      </c>
      <c r="G1326" s="156" t="str">
        <f>HYPERLINK("https://ledvance.com/pt/product-datasheet/323745/307628","Ficha Técnica")</f>
        <v>Ficha Técnica</v>
      </c>
      <c r="H1326" s="15">
        <v>12</v>
      </c>
      <c r="I1326" s="163" t="s">
        <v>1820</v>
      </c>
      <c r="J1326" s="15" t="s">
        <v>4009</v>
      </c>
      <c r="K1326" s="163" t="s">
        <v>249</v>
      </c>
      <c r="L1326" s="15">
        <v>5</v>
      </c>
      <c r="M1326" s="188">
        <v>20.9</v>
      </c>
      <c r="N1326" s="169" t="s">
        <v>11</v>
      </c>
    </row>
    <row r="1327" spans="1:14" x14ac:dyDescent="0.25">
      <c r="A1327" s="63" t="s">
        <v>8</v>
      </c>
      <c r="B1327" s="71" t="s">
        <v>3182</v>
      </c>
      <c r="C1327" s="2">
        <v>4099854305665</v>
      </c>
      <c r="D1327" s="95">
        <v>4058075420885</v>
      </c>
      <c r="E1327" s="96" t="s">
        <v>1210</v>
      </c>
      <c r="G1327" s="156" t="str">
        <f>HYPERLINK("https://ledvance.com/pt/product-datasheet/323745/307631","Ficha Técnica")</f>
        <v>Ficha Técnica</v>
      </c>
      <c r="H1327" s="15">
        <v>12</v>
      </c>
      <c r="I1327" s="163" t="s">
        <v>1821</v>
      </c>
      <c r="J1327" s="15" t="s">
        <v>4009</v>
      </c>
      <c r="K1327" s="163" t="s">
        <v>249</v>
      </c>
      <c r="L1327" s="15">
        <v>5</v>
      </c>
      <c r="M1327" s="188">
        <v>20.9</v>
      </c>
      <c r="N1327" s="169" t="s">
        <v>11</v>
      </c>
    </row>
    <row r="1328" spans="1:14" x14ac:dyDescent="0.25">
      <c r="A1328" s="63" t="s">
        <v>8</v>
      </c>
      <c r="B1328" s="71" t="s">
        <v>3183</v>
      </c>
      <c r="C1328" s="2">
        <v>4099854305726</v>
      </c>
      <c r="D1328" s="95">
        <v>4058075420908</v>
      </c>
      <c r="E1328" s="96" t="s">
        <v>1211</v>
      </c>
      <c r="G1328" s="156" t="str">
        <f>HYPERLINK("https://ledvance.com/pt/product-datasheet/323745/307634","Ficha Técnica")</f>
        <v>Ficha Técnica</v>
      </c>
      <c r="H1328" s="15">
        <v>12</v>
      </c>
      <c r="I1328" s="163" t="s">
        <v>1821</v>
      </c>
      <c r="J1328" s="15" t="s">
        <v>4009</v>
      </c>
      <c r="K1328" s="163" t="s">
        <v>249</v>
      </c>
      <c r="L1328" s="15">
        <v>5</v>
      </c>
      <c r="M1328" s="188">
        <v>20.9</v>
      </c>
      <c r="N1328" s="169" t="s">
        <v>11</v>
      </c>
    </row>
    <row r="1329" spans="1:14" x14ac:dyDescent="0.25">
      <c r="A1329" s="63" t="s">
        <v>8</v>
      </c>
      <c r="B1329" s="71" t="s">
        <v>3184</v>
      </c>
      <c r="C1329" s="2">
        <v>4099854305740</v>
      </c>
      <c r="D1329" s="95">
        <v>4058075420922</v>
      </c>
      <c r="E1329" s="96" t="s">
        <v>1212</v>
      </c>
      <c r="G1329" s="156" t="str">
        <f>HYPERLINK("https://ledvance.com/pt/product-datasheet/323745/307637","Ficha Técnica")</f>
        <v>Ficha Técnica</v>
      </c>
      <c r="H1329" s="15">
        <v>12</v>
      </c>
      <c r="I1329" s="163" t="s">
        <v>1821</v>
      </c>
      <c r="J1329" s="15" t="s">
        <v>4009</v>
      </c>
      <c r="K1329" s="163" t="s">
        <v>249</v>
      </c>
      <c r="L1329" s="15">
        <v>5</v>
      </c>
      <c r="M1329" s="188">
        <v>20.9</v>
      </c>
      <c r="N1329" s="169" t="s">
        <v>11</v>
      </c>
    </row>
    <row r="1330" spans="1:14" x14ac:dyDescent="0.25">
      <c r="A1330" s="63" t="s">
        <v>8</v>
      </c>
      <c r="B1330" s="71" t="s">
        <v>3185</v>
      </c>
      <c r="C1330" s="2">
        <v>4099854305764</v>
      </c>
      <c r="D1330" s="95">
        <v>4058075420946</v>
      </c>
      <c r="E1330" s="96" t="s">
        <v>1213</v>
      </c>
      <c r="G1330" s="156" t="str">
        <f>HYPERLINK("https://ledvance.com/pt/product-datasheet/323745/307640","Ficha Técnica")</f>
        <v>Ficha Técnica</v>
      </c>
      <c r="H1330" s="15">
        <v>12</v>
      </c>
      <c r="I1330" s="163" t="s">
        <v>1821</v>
      </c>
      <c r="J1330" s="15" t="s">
        <v>4009</v>
      </c>
      <c r="K1330" s="163" t="s">
        <v>249</v>
      </c>
      <c r="L1330" s="15">
        <v>5</v>
      </c>
      <c r="M1330" s="188">
        <v>20.9</v>
      </c>
      <c r="N1330" s="169" t="s">
        <v>11</v>
      </c>
    </row>
    <row r="1331" spans="1:14" x14ac:dyDescent="0.25">
      <c r="A1331" s="63" t="s">
        <v>8</v>
      </c>
      <c r="B1331" s="71" t="s">
        <v>3186</v>
      </c>
      <c r="C1331" s="2">
        <v>4099854305788</v>
      </c>
      <c r="D1331" s="95">
        <v>4058075420960</v>
      </c>
      <c r="E1331" s="96" t="s">
        <v>1214</v>
      </c>
      <c r="G1331" s="156" t="str">
        <f>HYPERLINK("https://ledvance.com/pt/product-datasheet/323746/307643","Ficha Técnica")</f>
        <v>Ficha Técnica</v>
      </c>
      <c r="H1331" s="15">
        <v>12</v>
      </c>
      <c r="I1331" s="163" t="s">
        <v>1822</v>
      </c>
      <c r="J1331" s="15" t="s">
        <v>4005</v>
      </c>
      <c r="K1331" s="163" t="s">
        <v>249</v>
      </c>
      <c r="L1331" s="15">
        <v>5</v>
      </c>
      <c r="M1331" s="188">
        <v>25.4</v>
      </c>
      <c r="N1331" s="169" t="s">
        <v>11</v>
      </c>
    </row>
    <row r="1332" spans="1:14" x14ac:dyDescent="0.25">
      <c r="A1332" s="63" t="s">
        <v>8</v>
      </c>
      <c r="B1332" s="71" t="s">
        <v>3187</v>
      </c>
      <c r="C1332" s="2">
        <v>4099854305801</v>
      </c>
      <c r="D1332" s="95">
        <v>4058075420991</v>
      </c>
      <c r="E1332" s="96" t="s">
        <v>1215</v>
      </c>
      <c r="G1332" s="156" t="str">
        <f>HYPERLINK("https://ledvance.com/pt/product-datasheet/323746/307646","Ficha Técnica")</f>
        <v>Ficha Técnica</v>
      </c>
      <c r="H1332" s="15">
        <v>12</v>
      </c>
      <c r="I1332" s="163" t="s">
        <v>1822</v>
      </c>
      <c r="J1332" s="15" t="s">
        <v>4005</v>
      </c>
      <c r="K1332" s="163" t="s">
        <v>249</v>
      </c>
      <c r="L1332" s="15">
        <v>5</v>
      </c>
      <c r="M1332" s="188">
        <v>25.4</v>
      </c>
      <c r="N1332" s="169" t="s">
        <v>11</v>
      </c>
    </row>
    <row r="1333" spans="1:14" x14ac:dyDescent="0.25">
      <c r="A1333" s="63" t="s">
        <v>8</v>
      </c>
      <c r="B1333" s="71" t="s">
        <v>3188</v>
      </c>
      <c r="C1333" s="2">
        <v>4099854305825</v>
      </c>
      <c r="D1333" s="95">
        <v>4058075421011</v>
      </c>
      <c r="E1333" s="96" t="s">
        <v>1216</v>
      </c>
      <c r="G1333" s="156" t="str">
        <f>HYPERLINK("https://ledvance.com/pt/product-datasheet/323746/307649","Ficha Técnica")</f>
        <v>Ficha Técnica</v>
      </c>
      <c r="H1333" s="15">
        <v>12</v>
      </c>
      <c r="I1333" s="163" t="s">
        <v>1823</v>
      </c>
      <c r="J1333" s="15" t="s">
        <v>4005</v>
      </c>
      <c r="K1333" s="163" t="s">
        <v>249</v>
      </c>
      <c r="L1333" s="15">
        <v>5</v>
      </c>
      <c r="M1333" s="188">
        <v>25.4</v>
      </c>
      <c r="N1333" s="169" t="s">
        <v>11</v>
      </c>
    </row>
    <row r="1334" spans="1:14" x14ac:dyDescent="0.25">
      <c r="A1334" s="63" t="s">
        <v>8</v>
      </c>
      <c r="B1334" s="71" t="s">
        <v>3189</v>
      </c>
      <c r="C1334" s="2">
        <v>4099854305849</v>
      </c>
      <c r="D1334" s="95">
        <v>4058075421035</v>
      </c>
      <c r="E1334" s="96" t="s">
        <v>1217</v>
      </c>
      <c r="G1334" s="156" t="str">
        <f>HYPERLINK("https://ledvance.com/pt/product-datasheet/323746/307652","Ficha Técnica")</f>
        <v>Ficha Técnica</v>
      </c>
      <c r="H1334" s="15">
        <v>12</v>
      </c>
      <c r="I1334" s="163" t="s">
        <v>1823</v>
      </c>
      <c r="J1334" s="15" t="s">
        <v>4005</v>
      </c>
      <c r="K1334" s="163" t="s">
        <v>249</v>
      </c>
      <c r="L1334" s="15">
        <v>5</v>
      </c>
      <c r="M1334" s="188">
        <v>25.4</v>
      </c>
      <c r="N1334" s="169" t="s">
        <v>11</v>
      </c>
    </row>
    <row r="1335" spans="1:14" x14ac:dyDescent="0.25">
      <c r="A1335" s="63" t="s">
        <v>8</v>
      </c>
      <c r="B1335" s="71" t="s">
        <v>3190</v>
      </c>
      <c r="C1335" s="2">
        <v>4099854305863</v>
      </c>
      <c r="D1335" s="95">
        <v>4058075421059</v>
      </c>
      <c r="E1335" s="96" t="s">
        <v>1218</v>
      </c>
      <c r="G1335" s="156" t="str">
        <f>HYPERLINK("https://ledvance.com/pt/product-datasheet/323746/307655","Ficha Técnica")</f>
        <v>Ficha Técnica</v>
      </c>
      <c r="H1335" s="15">
        <v>12</v>
      </c>
      <c r="I1335" s="163" t="s">
        <v>1823</v>
      </c>
      <c r="J1335" s="15" t="s">
        <v>4005</v>
      </c>
      <c r="K1335" s="163" t="s">
        <v>249</v>
      </c>
      <c r="L1335" s="15">
        <v>5</v>
      </c>
      <c r="M1335" s="188">
        <v>25.4</v>
      </c>
      <c r="N1335" s="169" t="s">
        <v>11</v>
      </c>
    </row>
    <row r="1336" spans="1:14" x14ac:dyDescent="0.25">
      <c r="A1336" s="63" t="s">
        <v>8</v>
      </c>
      <c r="B1336" s="71" t="s">
        <v>3191</v>
      </c>
      <c r="C1336" s="2">
        <v>4099854305887</v>
      </c>
      <c r="D1336" s="95">
        <v>4058075421073</v>
      </c>
      <c r="E1336" s="96" t="s">
        <v>1219</v>
      </c>
      <c r="G1336" s="156" t="str">
        <f>HYPERLINK("https://ledvance.com/pt/product-datasheet/323746/307658","Ficha Técnica")</f>
        <v>Ficha Técnica</v>
      </c>
      <c r="H1336" s="15">
        <v>12</v>
      </c>
      <c r="I1336" s="163" t="s">
        <v>1823</v>
      </c>
      <c r="J1336" s="15" t="s">
        <v>4005</v>
      </c>
      <c r="K1336" s="163" t="s">
        <v>249</v>
      </c>
      <c r="L1336" s="15">
        <v>5</v>
      </c>
      <c r="M1336" s="188">
        <v>25.4</v>
      </c>
      <c r="N1336" s="169" t="s">
        <v>11</v>
      </c>
    </row>
    <row r="1337" spans="1:14" x14ac:dyDescent="0.25">
      <c r="A1337" s="63" t="s">
        <v>8</v>
      </c>
      <c r="B1337" s="71" t="s">
        <v>3192</v>
      </c>
      <c r="C1337" s="2">
        <v>4099854305924</v>
      </c>
      <c r="D1337" s="95" t="s">
        <v>1969</v>
      </c>
      <c r="E1337" s="96" t="s">
        <v>3193</v>
      </c>
      <c r="G1337" s="156" t="str">
        <f>HYPERLINK("https://ledvance.com/pt/product-datasheet/323747/307661","Ficha Técnica")</f>
        <v>Ficha Técnica</v>
      </c>
      <c r="H1337" s="15">
        <v>8</v>
      </c>
      <c r="I1337" s="163" t="s">
        <v>1824</v>
      </c>
      <c r="J1337" s="15" t="s">
        <v>1825</v>
      </c>
      <c r="K1337" s="163" t="s">
        <v>249</v>
      </c>
      <c r="L1337" s="15">
        <v>5</v>
      </c>
      <c r="M1337" s="188">
        <v>47.7</v>
      </c>
      <c r="N1337" s="169" t="s">
        <v>11</v>
      </c>
    </row>
    <row r="1338" spans="1:14" x14ac:dyDescent="0.25">
      <c r="A1338" s="63" t="s">
        <v>8</v>
      </c>
      <c r="B1338" s="71" t="s">
        <v>3194</v>
      </c>
      <c r="C1338" s="2">
        <v>4099854305948</v>
      </c>
      <c r="D1338" s="95" t="s">
        <v>1970</v>
      </c>
      <c r="E1338" s="96" t="s">
        <v>3195</v>
      </c>
      <c r="G1338" s="156" t="str">
        <f>HYPERLINK("https://ledvance.com/pt/product-datasheet/323747/307664","Ficha Técnica")</f>
        <v>Ficha Técnica</v>
      </c>
      <c r="H1338" s="15">
        <v>8</v>
      </c>
      <c r="I1338" s="163" t="s">
        <v>1824</v>
      </c>
      <c r="J1338" s="15" t="s">
        <v>1825</v>
      </c>
      <c r="K1338" s="163" t="s">
        <v>249</v>
      </c>
      <c r="L1338" s="15">
        <v>5</v>
      </c>
      <c r="M1338" s="188">
        <v>47.7</v>
      </c>
      <c r="N1338" s="169" t="s">
        <v>11</v>
      </c>
    </row>
    <row r="1339" spans="1:14" x14ac:dyDescent="0.25">
      <c r="A1339" s="63" t="s">
        <v>8</v>
      </c>
      <c r="B1339" s="71" t="s">
        <v>3196</v>
      </c>
      <c r="C1339" s="2">
        <v>4099854305962</v>
      </c>
      <c r="D1339" s="95" t="s">
        <v>1971</v>
      </c>
      <c r="E1339" s="96" t="s">
        <v>3197</v>
      </c>
      <c r="G1339" s="156" t="str">
        <f>HYPERLINK("https://ledvance.com/pt/product-datasheet/323747/307667","Ficha Técnica")</f>
        <v>Ficha Técnica</v>
      </c>
      <c r="H1339" s="15">
        <v>8</v>
      </c>
      <c r="I1339" s="163" t="s">
        <v>1826</v>
      </c>
      <c r="J1339" s="15" t="s">
        <v>1825</v>
      </c>
      <c r="K1339" s="163" t="s">
        <v>249</v>
      </c>
      <c r="L1339" s="15">
        <v>5</v>
      </c>
      <c r="M1339" s="188">
        <v>47.7</v>
      </c>
      <c r="N1339" s="169" t="s">
        <v>11</v>
      </c>
    </row>
    <row r="1340" spans="1:14" x14ac:dyDescent="0.25">
      <c r="A1340" s="63" t="s">
        <v>8</v>
      </c>
      <c r="B1340" s="71" t="s">
        <v>3198</v>
      </c>
      <c r="C1340" s="2">
        <v>4099854305986</v>
      </c>
      <c r="D1340" s="95" t="s">
        <v>1972</v>
      </c>
      <c r="E1340" s="96" t="s">
        <v>3199</v>
      </c>
      <c r="G1340" s="156" t="str">
        <f>HYPERLINK("https://ledvance.com/pt/product-datasheet/323747/307670","Ficha Técnica")</f>
        <v>Ficha Técnica</v>
      </c>
      <c r="H1340" s="15">
        <v>8</v>
      </c>
      <c r="I1340" s="163" t="s">
        <v>1826</v>
      </c>
      <c r="J1340" s="15" t="s">
        <v>1825</v>
      </c>
      <c r="K1340" s="163" t="s">
        <v>249</v>
      </c>
      <c r="L1340" s="15">
        <v>5</v>
      </c>
      <c r="M1340" s="188">
        <v>47.7</v>
      </c>
      <c r="N1340" s="169" t="s">
        <v>11</v>
      </c>
    </row>
    <row r="1341" spans="1:14" x14ac:dyDescent="0.25">
      <c r="A1341" s="63" t="s">
        <v>8</v>
      </c>
      <c r="B1341" s="71" t="s">
        <v>3200</v>
      </c>
      <c r="C1341" s="2">
        <v>4099854306006</v>
      </c>
      <c r="D1341" s="95" t="s">
        <v>1973</v>
      </c>
      <c r="E1341" s="96" t="s">
        <v>3201</v>
      </c>
      <c r="G1341" s="156" t="str">
        <f>HYPERLINK("https://ledvance.com/pt/product-datasheet/323747/307673","Ficha Técnica")</f>
        <v>Ficha Técnica</v>
      </c>
      <c r="H1341" s="15">
        <v>8</v>
      </c>
      <c r="I1341" s="163" t="s">
        <v>1826</v>
      </c>
      <c r="J1341" s="15" t="s">
        <v>1825</v>
      </c>
      <c r="K1341" s="163" t="s">
        <v>249</v>
      </c>
      <c r="L1341" s="15">
        <v>5</v>
      </c>
      <c r="M1341" s="188">
        <v>47.7</v>
      </c>
      <c r="N1341" s="169" t="s">
        <v>11</v>
      </c>
    </row>
    <row r="1342" spans="1:14" x14ac:dyDescent="0.25">
      <c r="A1342" s="63" t="s">
        <v>8</v>
      </c>
      <c r="B1342" s="71" t="s">
        <v>3202</v>
      </c>
      <c r="C1342" s="2">
        <v>4099854306020</v>
      </c>
      <c r="D1342" s="95" t="s">
        <v>1974</v>
      </c>
      <c r="E1342" s="96" t="s">
        <v>3203</v>
      </c>
      <c r="G1342" s="156" t="str">
        <f>HYPERLINK("https://ledvance.com/pt/product-datasheet/323747/307676","Ficha Técnica")</f>
        <v>Ficha Técnica</v>
      </c>
      <c r="H1342" s="15">
        <v>8</v>
      </c>
      <c r="I1342" s="163" t="s">
        <v>1826</v>
      </c>
      <c r="J1342" s="15" t="s">
        <v>1825</v>
      </c>
      <c r="K1342" s="163" t="s">
        <v>249</v>
      </c>
      <c r="L1342" s="15">
        <v>5</v>
      </c>
      <c r="M1342" s="188">
        <v>47.7</v>
      </c>
      <c r="N1342" s="169" t="s">
        <v>11</v>
      </c>
    </row>
    <row r="1343" spans="1:14" x14ac:dyDescent="0.25">
      <c r="A1343" s="63" t="s">
        <v>8</v>
      </c>
      <c r="B1343" s="71" t="s">
        <v>3204</v>
      </c>
      <c r="C1343" s="2">
        <v>4099854306082</v>
      </c>
      <c r="D1343" s="95" t="s">
        <v>1975</v>
      </c>
      <c r="E1343" s="96" t="s">
        <v>3205</v>
      </c>
      <c r="G1343" s="156" t="str">
        <f>HYPERLINK("https://ledvance.com/pt/product-datasheet/323749/307679","Ficha Técnica")</f>
        <v>Ficha Técnica</v>
      </c>
      <c r="H1343" s="15">
        <v>4</v>
      </c>
      <c r="I1343" s="163" t="s">
        <v>1827</v>
      </c>
      <c r="J1343" s="15" t="s">
        <v>1828</v>
      </c>
      <c r="K1343" s="163" t="s">
        <v>249</v>
      </c>
      <c r="L1343" s="15">
        <v>5</v>
      </c>
      <c r="M1343" s="188">
        <v>107.9</v>
      </c>
      <c r="N1343" s="169" t="s">
        <v>11</v>
      </c>
    </row>
    <row r="1344" spans="1:14" x14ac:dyDescent="0.25">
      <c r="A1344" s="63" t="s">
        <v>8</v>
      </c>
      <c r="B1344" s="71" t="s">
        <v>3206</v>
      </c>
      <c r="C1344" s="2">
        <v>4099854306143</v>
      </c>
      <c r="D1344" s="118"/>
      <c r="E1344" s="119"/>
      <c r="G1344" s="156" t="str">
        <f>HYPERLINK("https://ledvance.com/pt/product-datasheet/323749/307682","Ficha Técnica")</f>
        <v>Ficha Técnica</v>
      </c>
      <c r="H1344" s="15">
        <v>4</v>
      </c>
      <c r="I1344" s="163" t="s">
        <v>1827</v>
      </c>
      <c r="J1344" s="15" t="s">
        <v>1828</v>
      </c>
      <c r="K1344" s="163" t="s">
        <v>249</v>
      </c>
      <c r="L1344" s="15">
        <v>5</v>
      </c>
      <c r="M1344" s="188">
        <v>107.9</v>
      </c>
      <c r="N1344" s="169" t="s">
        <v>11</v>
      </c>
    </row>
    <row r="1345" spans="1:14" x14ac:dyDescent="0.25">
      <c r="A1345" s="63" t="s">
        <v>8</v>
      </c>
      <c r="B1345" s="71" t="s">
        <v>3207</v>
      </c>
      <c r="C1345" s="2">
        <v>4099854306167</v>
      </c>
      <c r="D1345" s="95" t="s">
        <v>1976</v>
      </c>
      <c r="E1345" s="96" t="s">
        <v>3208</v>
      </c>
      <c r="G1345" s="156" t="str">
        <f>HYPERLINK("https://ledvance.com/pt/product-datasheet/323749/307685","Ficha Técnica")</f>
        <v>Ficha Técnica</v>
      </c>
      <c r="H1345" s="15">
        <v>4</v>
      </c>
      <c r="I1345" s="163" t="s">
        <v>1829</v>
      </c>
      <c r="J1345" s="15" t="s">
        <v>1828</v>
      </c>
      <c r="K1345" s="163" t="s">
        <v>249</v>
      </c>
      <c r="L1345" s="15">
        <v>5</v>
      </c>
      <c r="M1345" s="188">
        <v>107.9</v>
      </c>
      <c r="N1345" s="169" t="s">
        <v>11</v>
      </c>
    </row>
    <row r="1346" spans="1:14" x14ac:dyDescent="0.25">
      <c r="A1346" s="63" t="s">
        <v>8</v>
      </c>
      <c r="B1346" s="71" t="s">
        <v>3209</v>
      </c>
      <c r="C1346" s="2">
        <v>4099854306181</v>
      </c>
      <c r="D1346" s="118"/>
      <c r="E1346" s="119"/>
      <c r="G1346" s="156" t="str">
        <f>HYPERLINK("https://ledvance.com/pt/product-datasheet/323749/307688","Ficha Técnica")</f>
        <v>Ficha Técnica</v>
      </c>
      <c r="H1346" s="15">
        <v>4</v>
      </c>
      <c r="I1346" s="163" t="s">
        <v>1829</v>
      </c>
      <c r="J1346" s="15" t="s">
        <v>1828</v>
      </c>
      <c r="K1346" s="163" t="s">
        <v>249</v>
      </c>
      <c r="L1346" s="15">
        <v>5</v>
      </c>
      <c r="M1346" s="188">
        <v>107.9</v>
      </c>
      <c r="N1346" s="169" t="s">
        <v>11</v>
      </c>
    </row>
    <row r="1347" spans="1:14" x14ac:dyDescent="0.25">
      <c r="A1347" s="63" t="s">
        <v>8</v>
      </c>
      <c r="B1347" s="71" t="s">
        <v>3210</v>
      </c>
      <c r="C1347" s="2">
        <v>4099854306204</v>
      </c>
      <c r="D1347" s="95" t="s">
        <v>1977</v>
      </c>
      <c r="E1347" s="96" t="s">
        <v>3211</v>
      </c>
      <c r="G1347" s="156" t="str">
        <f>HYPERLINK("https://ledvance.com/pt/product-datasheet/323749/307691","Ficha Técnica")</f>
        <v>Ficha Técnica</v>
      </c>
      <c r="H1347" s="15">
        <v>4</v>
      </c>
      <c r="I1347" s="163" t="s">
        <v>1829</v>
      </c>
      <c r="J1347" s="15" t="s">
        <v>1828</v>
      </c>
      <c r="K1347" s="163" t="s">
        <v>249</v>
      </c>
      <c r="L1347" s="15">
        <v>5</v>
      </c>
      <c r="M1347" s="188">
        <v>107.9</v>
      </c>
      <c r="N1347" s="169" t="s">
        <v>11</v>
      </c>
    </row>
    <row r="1348" spans="1:14" x14ac:dyDescent="0.25">
      <c r="A1348" s="63" t="s">
        <v>8</v>
      </c>
      <c r="B1348" s="71" t="s">
        <v>3212</v>
      </c>
      <c r="C1348" s="2">
        <v>4099854306228</v>
      </c>
      <c r="D1348" s="118"/>
      <c r="E1348" s="119"/>
      <c r="G1348" s="156" t="str">
        <f>HYPERLINK("https://ledvance.com/pt/product-datasheet/323749/307694","Ficha Técnica")</f>
        <v>Ficha Técnica</v>
      </c>
      <c r="H1348" s="15">
        <v>4</v>
      </c>
      <c r="I1348" s="163" t="s">
        <v>1829</v>
      </c>
      <c r="J1348" s="15" t="s">
        <v>1828</v>
      </c>
      <c r="K1348" s="163" t="s">
        <v>249</v>
      </c>
      <c r="L1348" s="15">
        <v>5</v>
      </c>
      <c r="M1348" s="188">
        <v>107.9</v>
      </c>
      <c r="N1348" s="169" t="s">
        <v>11</v>
      </c>
    </row>
    <row r="1349" spans="1:14" x14ac:dyDescent="0.25">
      <c r="A1349" s="63" t="s">
        <v>8</v>
      </c>
      <c r="B1349" s="71" t="s">
        <v>3213</v>
      </c>
      <c r="C1349" s="2">
        <v>4099854306242</v>
      </c>
      <c r="D1349" s="95">
        <v>4058075423695</v>
      </c>
      <c r="E1349" s="96" t="s">
        <v>1220</v>
      </c>
      <c r="G1349" s="156" t="str">
        <f>HYPERLINK("https://ledvance.com/pt/product-datasheet/323750/307697","Ficha Técnica")</f>
        <v>Ficha Técnica</v>
      </c>
      <c r="H1349" s="15">
        <v>3</v>
      </c>
      <c r="I1349" s="163" t="s">
        <v>1830</v>
      </c>
      <c r="J1349" s="15" t="s">
        <v>1831</v>
      </c>
      <c r="K1349" s="163" t="s">
        <v>249</v>
      </c>
      <c r="L1349" s="15">
        <v>5</v>
      </c>
      <c r="M1349" s="188">
        <v>251.8</v>
      </c>
      <c r="N1349" s="169" t="s">
        <v>11</v>
      </c>
    </row>
    <row r="1350" spans="1:14" x14ac:dyDescent="0.25">
      <c r="A1350" s="63" t="s">
        <v>8</v>
      </c>
      <c r="B1350" s="71" t="s">
        <v>3214</v>
      </c>
      <c r="C1350" s="2">
        <v>4099854306266</v>
      </c>
      <c r="D1350" s="118"/>
      <c r="E1350" s="119"/>
      <c r="G1350" s="156" t="str">
        <f>HYPERLINK("https://ledvance.com/pt/product-datasheet/323750/307700","Ficha Técnica")</f>
        <v>Ficha Técnica</v>
      </c>
      <c r="H1350" s="15">
        <v>3</v>
      </c>
      <c r="I1350" s="163" t="s">
        <v>1830</v>
      </c>
      <c r="J1350" s="15" t="s">
        <v>1831</v>
      </c>
      <c r="K1350" s="163" t="s">
        <v>249</v>
      </c>
      <c r="L1350" s="15">
        <v>5</v>
      </c>
      <c r="M1350" s="188">
        <v>251.8</v>
      </c>
      <c r="N1350" s="169" t="s">
        <v>11</v>
      </c>
    </row>
    <row r="1351" spans="1:14" x14ac:dyDescent="0.25">
      <c r="A1351" s="63" t="s">
        <v>8</v>
      </c>
      <c r="B1351" s="71" t="s">
        <v>3215</v>
      </c>
      <c r="C1351" s="2">
        <v>4099854306280</v>
      </c>
      <c r="D1351" s="95">
        <v>4058075423701</v>
      </c>
      <c r="E1351" s="96" t="s">
        <v>1221</v>
      </c>
      <c r="G1351" s="156" t="str">
        <f>HYPERLINK("https://ledvance.com/pt/product-datasheet/323750/307703","Ficha Técnica")</f>
        <v>Ficha Técnica</v>
      </c>
      <c r="H1351" s="15">
        <v>3</v>
      </c>
      <c r="I1351" s="163" t="s">
        <v>1832</v>
      </c>
      <c r="J1351" s="15" t="s">
        <v>1831</v>
      </c>
      <c r="K1351" s="163" t="s">
        <v>249</v>
      </c>
      <c r="L1351" s="15">
        <v>5</v>
      </c>
      <c r="M1351" s="188">
        <v>251.8</v>
      </c>
      <c r="N1351" s="169" t="s">
        <v>11</v>
      </c>
    </row>
    <row r="1352" spans="1:14" x14ac:dyDescent="0.25">
      <c r="A1352" s="63" t="s">
        <v>8</v>
      </c>
      <c r="B1352" s="71" t="s">
        <v>3216</v>
      </c>
      <c r="C1352" s="2">
        <v>4099854306303</v>
      </c>
      <c r="D1352" s="118"/>
      <c r="E1352" s="119"/>
      <c r="G1352" s="156" t="str">
        <f>HYPERLINK("https://ledvance.com/pt/product-datasheet/323750/307706","Ficha Técnica")</f>
        <v>Ficha Técnica</v>
      </c>
      <c r="H1352" s="15">
        <v>3</v>
      </c>
      <c r="I1352" s="163" t="s">
        <v>1832</v>
      </c>
      <c r="J1352" s="15" t="s">
        <v>1831</v>
      </c>
      <c r="K1352" s="163" t="s">
        <v>249</v>
      </c>
      <c r="L1352" s="15">
        <v>5</v>
      </c>
      <c r="M1352" s="188">
        <v>251.8</v>
      </c>
      <c r="N1352" s="169" t="s">
        <v>11</v>
      </c>
    </row>
    <row r="1353" spans="1:14" x14ac:dyDescent="0.25">
      <c r="A1353" s="63" t="s">
        <v>8</v>
      </c>
      <c r="B1353" s="71" t="s">
        <v>3217</v>
      </c>
      <c r="C1353" s="2">
        <v>4099854306327</v>
      </c>
      <c r="D1353" s="95">
        <v>4058075423718</v>
      </c>
      <c r="E1353" s="96" t="s">
        <v>1222</v>
      </c>
      <c r="G1353" s="156" t="str">
        <f>HYPERLINK("https://ledvance.com/pt/product-datasheet/323750/307709","Ficha Técnica")</f>
        <v>Ficha Técnica</v>
      </c>
      <c r="H1353" s="15">
        <v>3</v>
      </c>
      <c r="I1353" s="163" t="s">
        <v>1832</v>
      </c>
      <c r="J1353" s="15" t="s">
        <v>1831</v>
      </c>
      <c r="K1353" s="163" t="s">
        <v>249</v>
      </c>
      <c r="L1353" s="15">
        <v>5</v>
      </c>
      <c r="M1353" s="188">
        <v>251.8</v>
      </c>
      <c r="N1353" s="169" t="s">
        <v>11</v>
      </c>
    </row>
    <row r="1354" spans="1:14" x14ac:dyDescent="0.25">
      <c r="A1354" s="63" t="s">
        <v>8</v>
      </c>
      <c r="B1354" s="71" t="s">
        <v>3218</v>
      </c>
      <c r="C1354" s="2">
        <v>4099854306341</v>
      </c>
      <c r="D1354" s="118"/>
      <c r="E1354" s="119"/>
      <c r="G1354" s="156" t="str">
        <f>HYPERLINK("https://ledvance.com/pt/product-datasheet/323750/307712","Ficha Técnica")</f>
        <v>Ficha Técnica</v>
      </c>
      <c r="H1354" s="15">
        <v>3</v>
      </c>
      <c r="I1354" s="163" t="s">
        <v>1832</v>
      </c>
      <c r="J1354" s="15" t="s">
        <v>1831</v>
      </c>
      <c r="K1354" s="163" t="s">
        <v>249</v>
      </c>
      <c r="L1354" s="15">
        <v>5</v>
      </c>
      <c r="M1354" s="188">
        <v>251.8</v>
      </c>
      <c r="N1354" s="169" t="s">
        <v>11</v>
      </c>
    </row>
    <row r="1355" spans="1:14" x14ac:dyDescent="0.25">
      <c r="A1355" s="63" t="s">
        <v>8</v>
      </c>
      <c r="B1355" s="71" t="s">
        <v>3219</v>
      </c>
      <c r="C1355" s="2">
        <v>4099854306365</v>
      </c>
      <c r="D1355" s="95">
        <v>4058075423725</v>
      </c>
      <c r="E1355" s="96" t="s">
        <v>1223</v>
      </c>
      <c r="G1355" s="156" t="str">
        <f>HYPERLINK("https://ledvance.com/pt/product-datasheet/323751/307715","Ficha Técnica")</f>
        <v>Ficha Técnica</v>
      </c>
      <c r="H1355" s="15">
        <v>2</v>
      </c>
      <c r="I1355" s="163" t="s">
        <v>1833</v>
      </c>
      <c r="J1355" s="15" t="s">
        <v>1834</v>
      </c>
      <c r="K1355" s="163" t="s">
        <v>249</v>
      </c>
      <c r="L1355" s="15">
        <v>5</v>
      </c>
      <c r="M1355" s="188">
        <v>300.10000000000002</v>
      </c>
      <c r="N1355" s="169" t="s">
        <v>11</v>
      </c>
    </row>
    <row r="1356" spans="1:14" x14ac:dyDescent="0.25">
      <c r="A1356" s="63" t="s">
        <v>8</v>
      </c>
      <c r="B1356" s="71" t="s">
        <v>3220</v>
      </c>
      <c r="C1356" s="2">
        <v>4099854306389</v>
      </c>
      <c r="D1356" s="118"/>
      <c r="E1356" s="119"/>
      <c r="G1356" s="156" t="str">
        <f>HYPERLINK("https://ledvance.com/pt/product-datasheet/323751/307718","Ficha Técnica")</f>
        <v>Ficha Técnica</v>
      </c>
      <c r="H1356" s="15">
        <v>2</v>
      </c>
      <c r="I1356" s="163" t="s">
        <v>1833</v>
      </c>
      <c r="J1356" s="15" t="s">
        <v>1834</v>
      </c>
      <c r="K1356" s="163" t="s">
        <v>249</v>
      </c>
      <c r="L1356" s="15">
        <v>5</v>
      </c>
      <c r="M1356" s="188">
        <v>300.10000000000002</v>
      </c>
      <c r="N1356" s="169" t="s">
        <v>11</v>
      </c>
    </row>
    <row r="1357" spans="1:14" x14ac:dyDescent="0.25">
      <c r="A1357" s="63" t="s">
        <v>8</v>
      </c>
      <c r="B1357" s="71" t="s">
        <v>3221</v>
      </c>
      <c r="C1357" s="2">
        <v>4099854306402</v>
      </c>
      <c r="D1357" s="95">
        <v>4058075423732</v>
      </c>
      <c r="E1357" s="96" t="s">
        <v>1224</v>
      </c>
      <c r="G1357" s="156" t="str">
        <f>HYPERLINK("https://ledvance.com/pt/product-datasheet/323751/307721","Ficha Técnica")</f>
        <v>Ficha Técnica</v>
      </c>
      <c r="H1357" s="15">
        <v>2</v>
      </c>
      <c r="I1357" s="163" t="s">
        <v>1835</v>
      </c>
      <c r="J1357" s="15" t="s">
        <v>1834</v>
      </c>
      <c r="K1357" s="163" t="s">
        <v>249</v>
      </c>
      <c r="L1357" s="15">
        <v>5</v>
      </c>
      <c r="M1357" s="188">
        <v>300.10000000000002</v>
      </c>
      <c r="N1357" s="169" t="s">
        <v>11</v>
      </c>
    </row>
    <row r="1358" spans="1:14" x14ac:dyDescent="0.25">
      <c r="A1358" s="63" t="s">
        <v>8</v>
      </c>
      <c r="B1358" s="71" t="s">
        <v>3222</v>
      </c>
      <c r="C1358" s="2">
        <v>4099854306426</v>
      </c>
      <c r="D1358" s="118"/>
      <c r="E1358" s="119"/>
      <c r="G1358" s="156" t="str">
        <f>HYPERLINK("https://ledvance.com/pt/product-datasheet/323751/307724","Ficha Técnica")</f>
        <v>Ficha Técnica</v>
      </c>
      <c r="H1358" s="15">
        <v>2</v>
      </c>
      <c r="I1358" s="163" t="s">
        <v>1835</v>
      </c>
      <c r="J1358" s="15" t="s">
        <v>1834</v>
      </c>
      <c r="K1358" s="163" t="s">
        <v>249</v>
      </c>
      <c r="L1358" s="15">
        <v>5</v>
      </c>
      <c r="M1358" s="188">
        <v>300.10000000000002</v>
      </c>
      <c r="N1358" s="169" t="s">
        <v>11</v>
      </c>
    </row>
    <row r="1359" spans="1:14" x14ac:dyDescent="0.25">
      <c r="A1359" s="63" t="s">
        <v>8</v>
      </c>
      <c r="B1359" s="71" t="s">
        <v>3223</v>
      </c>
      <c r="C1359" s="2">
        <v>4099854306464</v>
      </c>
      <c r="D1359" s="95">
        <v>4058075423749</v>
      </c>
      <c r="E1359" s="96" t="s">
        <v>1225</v>
      </c>
      <c r="G1359" s="156" t="str">
        <f>HYPERLINK("https://ledvance.com/pt/product-datasheet/323751/307727","Ficha Técnica")</f>
        <v>Ficha Técnica</v>
      </c>
      <c r="H1359" s="15">
        <v>2</v>
      </c>
      <c r="I1359" s="163" t="s">
        <v>1835</v>
      </c>
      <c r="J1359" s="15" t="s">
        <v>1834</v>
      </c>
      <c r="K1359" s="163" t="s">
        <v>249</v>
      </c>
      <c r="L1359" s="15">
        <v>5</v>
      </c>
      <c r="M1359" s="188">
        <v>300.10000000000002</v>
      </c>
      <c r="N1359" s="169" t="s">
        <v>11</v>
      </c>
    </row>
    <row r="1360" spans="1:14" x14ac:dyDescent="0.25">
      <c r="A1360" s="63" t="s">
        <v>8</v>
      </c>
      <c r="B1360" s="71" t="s">
        <v>3224</v>
      </c>
      <c r="C1360" s="2">
        <v>4099854306488</v>
      </c>
      <c r="D1360" s="118"/>
      <c r="E1360" s="119"/>
      <c r="G1360" s="156" t="str">
        <f>HYPERLINK("https://ledvance.com/pt/product-datasheet/323751/307730","Ficha Técnica")</f>
        <v>Ficha Técnica</v>
      </c>
      <c r="H1360" s="15">
        <v>2</v>
      </c>
      <c r="I1360" s="163" t="s">
        <v>1835</v>
      </c>
      <c r="J1360" s="15" t="s">
        <v>1834</v>
      </c>
      <c r="K1360" s="163" t="s">
        <v>249</v>
      </c>
      <c r="L1360" s="15">
        <v>5</v>
      </c>
      <c r="M1360" s="188">
        <v>300.10000000000002</v>
      </c>
      <c r="N1360" s="169" t="s">
        <v>11</v>
      </c>
    </row>
    <row r="1361" spans="1:14" x14ac:dyDescent="0.25">
      <c r="A1361" s="63" t="s">
        <v>8</v>
      </c>
      <c r="B1361" s="71" t="s">
        <v>3225</v>
      </c>
      <c r="C1361" s="2">
        <v>4099854306563</v>
      </c>
      <c r="D1361" s="95">
        <v>4058075423756</v>
      </c>
      <c r="E1361" s="96" t="s">
        <v>1226</v>
      </c>
      <c r="G1361" s="156" t="str">
        <f>HYPERLINK("https://ledvance.com/pt/product-datasheet/323752/307733","Ficha Técnica")</f>
        <v>Ficha Técnica</v>
      </c>
      <c r="H1361" s="15">
        <v>2</v>
      </c>
      <c r="I1361" s="163" t="s">
        <v>1836</v>
      </c>
      <c r="J1361" s="15" t="s">
        <v>1837</v>
      </c>
      <c r="K1361" s="163" t="s">
        <v>249</v>
      </c>
      <c r="L1361" s="15">
        <v>5</v>
      </c>
      <c r="M1361" s="188">
        <v>355.9</v>
      </c>
      <c r="N1361" s="169" t="s">
        <v>11</v>
      </c>
    </row>
    <row r="1362" spans="1:14" x14ac:dyDescent="0.25">
      <c r="A1362" s="63" t="s">
        <v>8</v>
      </c>
      <c r="B1362" s="71" t="s">
        <v>3226</v>
      </c>
      <c r="C1362" s="2">
        <v>4099854306587</v>
      </c>
      <c r="D1362" s="118"/>
      <c r="E1362" s="119"/>
      <c r="G1362" s="156" t="str">
        <f>HYPERLINK("https://ledvance.com/pt/product-datasheet/323752/307736","Ficha Técnica")</f>
        <v>Ficha Técnica</v>
      </c>
      <c r="H1362" s="15">
        <v>2</v>
      </c>
      <c r="I1362" s="163" t="s">
        <v>1836</v>
      </c>
      <c r="J1362" s="15" t="s">
        <v>1837</v>
      </c>
      <c r="K1362" s="163" t="s">
        <v>249</v>
      </c>
      <c r="L1362" s="15">
        <v>5</v>
      </c>
      <c r="M1362" s="188">
        <v>355.9</v>
      </c>
      <c r="N1362" s="169" t="s">
        <v>11</v>
      </c>
    </row>
    <row r="1363" spans="1:14" x14ac:dyDescent="0.25">
      <c r="A1363" s="63" t="s">
        <v>8</v>
      </c>
      <c r="B1363" s="71" t="s">
        <v>3227</v>
      </c>
      <c r="C1363" s="2">
        <v>4099854306600</v>
      </c>
      <c r="D1363" s="95">
        <v>4058075423763</v>
      </c>
      <c r="E1363" s="96" t="s">
        <v>1227</v>
      </c>
      <c r="G1363" s="156" t="str">
        <f>HYPERLINK("https://ledvance.com/pt/product-datasheet/323752/307739","Ficha Técnica")</f>
        <v>Ficha Técnica</v>
      </c>
      <c r="H1363" s="15">
        <v>2</v>
      </c>
      <c r="I1363" s="163" t="s">
        <v>1838</v>
      </c>
      <c r="J1363" s="15" t="s">
        <v>1837</v>
      </c>
      <c r="K1363" s="163" t="s">
        <v>249</v>
      </c>
      <c r="L1363" s="15">
        <v>5</v>
      </c>
      <c r="M1363" s="188">
        <v>355.9</v>
      </c>
      <c r="N1363" s="169" t="s">
        <v>11</v>
      </c>
    </row>
    <row r="1364" spans="1:14" x14ac:dyDescent="0.25">
      <c r="A1364" s="63" t="s">
        <v>8</v>
      </c>
      <c r="B1364" s="71" t="s">
        <v>3228</v>
      </c>
      <c r="C1364" s="2">
        <v>4099854306624</v>
      </c>
      <c r="D1364" s="118"/>
      <c r="E1364" s="119"/>
      <c r="G1364" s="156" t="str">
        <f>HYPERLINK("https://ledvance.com/pt/product-datasheet/323752/307742","Ficha Técnica")</f>
        <v>Ficha Técnica</v>
      </c>
      <c r="H1364" s="15">
        <v>2</v>
      </c>
      <c r="I1364" s="163" t="s">
        <v>1838</v>
      </c>
      <c r="J1364" s="15" t="s">
        <v>1837</v>
      </c>
      <c r="K1364" s="163" t="s">
        <v>249</v>
      </c>
      <c r="L1364" s="15">
        <v>5</v>
      </c>
      <c r="M1364" s="188">
        <v>355.9</v>
      </c>
      <c r="N1364" s="169" t="s">
        <v>11</v>
      </c>
    </row>
    <row r="1365" spans="1:14" x14ac:dyDescent="0.25">
      <c r="A1365" s="63" t="s">
        <v>8</v>
      </c>
      <c r="B1365" s="71" t="s">
        <v>3229</v>
      </c>
      <c r="C1365" s="2">
        <v>4099854306648</v>
      </c>
      <c r="D1365" s="95">
        <v>4058075423770</v>
      </c>
      <c r="E1365" s="96" t="s">
        <v>1228</v>
      </c>
      <c r="G1365" s="156" t="str">
        <f>HYPERLINK("https://ledvance.com/pt/product-datasheet/323752/307745","Ficha Técnica")</f>
        <v>Ficha Técnica</v>
      </c>
      <c r="H1365" s="15">
        <v>2</v>
      </c>
      <c r="I1365" s="163" t="s">
        <v>1838</v>
      </c>
      <c r="J1365" s="15" t="s">
        <v>1837</v>
      </c>
      <c r="K1365" s="163" t="s">
        <v>249</v>
      </c>
      <c r="L1365" s="15">
        <v>5</v>
      </c>
      <c r="M1365" s="188">
        <v>355.9</v>
      </c>
      <c r="N1365" s="169" t="s">
        <v>11</v>
      </c>
    </row>
    <row r="1366" spans="1:14" x14ac:dyDescent="0.25">
      <c r="A1366" s="63" t="s">
        <v>8</v>
      </c>
      <c r="B1366" s="71" t="s">
        <v>3230</v>
      </c>
      <c r="C1366" s="2">
        <v>4099854306662</v>
      </c>
      <c r="D1366" s="118"/>
      <c r="E1366" s="119"/>
      <c r="G1366" s="156" t="str">
        <f>HYPERLINK("https://ledvance.com/pt/product-datasheet/323752/307748","Ficha Técnica")</f>
        <v>Ficha Técnica</v>
      </c>
      <c r="H1366" s="15">
        <v>2</v>
      </c>
      <c r="I1366" s="163" t="s">
        <v>1838</v>
      </c>
      <c r="J1366" s="15" t="s">
        <v>1837</v>
      </c>
      <c r="K1366" s="163" t="s">
        <v>249</v>
      </c>
      <c r="L1366" s="15">
        <v>5</v>
      </c>
      <c r="M1366" s="188">
        <v>355.9</v>
      </c>
      <c r="N1366" s="169" t="s">
        <v>11</v>
      </c>
    </row>
    <row r="1367" spans="1:14" x14ac:dyDescent="0.25">
      <c r="A1367" s="66" t="s">
        <v>8</v>
      </c>
      <c r="B1367" s="69" t="s">
        <v>1441</v>
      </c>
      <c r="C1367" s="51"/>
      <c r="D1367" s="65"/>
      <c r="E1367" s="92"/>
      <c r="F1367" s="12"/>
      <c r="G1367" s="157"/>
      <c r="H1367" s="12"/>
      <c r="I1367" s="62"/>
      <c r="J1367" s="27"/>
      <c r="K1367" s="62"/>
      <c r="L1367" s="12"/>
      <c r="M1367" s="191"/>
      <c r="N1367" s="65"/>
    </row>
    <row r="1368" spans="1:14" x14ac:dyDescent="0.25">
      <c r="A1368" s="63" t="s">
        <v>8</v>
      </c>
      <c r="B1368" s="71" t="s">
        <v>3231</v>
      </c>
      <c r="C1368" s="2">
        <v>4099854306709</v>
      </c>
      <c r="D1368" s="95">
        <v>4058075460850</v>
      </c>
      <c r="E1368" s="96" t="s">
        <v>1229</v>
      </c>
      <c r="G1368" s="156" t="str">
        <f>HYPERLINK("https://ledvance.com/pt/product-datasheet/323753/307751","Ficha Técnica")</f>
        <v>Ficha Técnica</v>
      </c>
      <c r="H1368" s="15">
        <v>12</v>
      </c>
      <c r="I1368" s="163" t="s">
        <v>1820</v>
      </c>
      <c r="J1368" s="15" t="s">
        <v>4009</v>
      </c>
      <c r="K1368" s="163" t="s">
        <v>138</v>
      </c>
      <c r="L1368" s="15">
        <v>5</v>
      </c>
      <c r="M1368" s="188">
        <v>35.1</v>
      </c>
      <c r="N1368" s="169" t="s">
        <v>11</v>
      </c>
    </row>
    <row r="1369" spans="1:14" x14ac:dyDescent="0.25">
      <c r="A1369" s="63" t="s">
        <v>8</v>
      </c>
      <c r="B1369" s="71" t="s">
        <v>3232</v>
      </c>
      <c r="C1369" s="2">
        <v>4099854306747</v>
      </c>
      <c r="D1369" s="95">
        <v>4058075460836</v>
      </c>
      <c r="E1369" s="96" t="s">
        <v>1230</v>
      </c>
      <c r="G1369" s="156" t="str">
        <f>HYPERLINK("https://ledvance.com/pt/product-datasheet/323753/307754","Ficha Técnica")</f>
        <v>Ficha Técnica</v>
      </c>
      <c r="H1369" s="15">
        <v>12</v>
      </c>
      <c r="I1369" s="163" t="s">
        <v>1820</v>
      </c>
      <c r="J1369" s="15" t="s">
        <v>4009</v>
      </c>
      <c r="K1369" s="163" t="s">
        <v>138</v>
      </c>
      <c r="L1369" s="15">
        <v>5</v>
      </c>
      <c r="M1369" s="188">
        <v>35.1</v>
      </c>
      <c r="N1369" s="169" t="s">
        <v>11</v>
      </c>
    </row>
    <row r="1370" spans="1:14" x14ac:dyDescent="0.25">
      <c r="A1370" s="63" t="s">
        <v>8</v>
      </c>
      <c r="B1370" s="71" t="s">
        <v>3233</v>
      </c>
      <c r="C1370" s="2">
        <v>4099854306785</v>
      </c>
      <c r="D1370" s="95">
        <v>4058075460898</v>
      </c>
      <c r="E1370" s="96" t="s">
        <v>1231</v>
      </c>
      <c r="G1370" s="156" t="str">
        <f>HYPERLINK("https://ledvance.com/pt/product-datasheet/323753/307757","Ficha Técnica")</f>
        <v>Ficha Técnica</v>
      </c>
      <c r="H1370" s="15">
        <v>12</v>
      </c>
      <c r="I1370" s="163" t="s">
        <v>1821</v>
      </c>
      <c r="J1370" s="15" t="s">
        <v>4009</v>
      </c>
      <c r="K1370" s="163" t="s">
        <v>138</v>
      </c>
      <c r="L1370" s="15">
        <v>5</v>
      </c>
      <c r="M1370" s="188">
        <v>35.1</v>
      </c>
      <c r="N1370" s="169" t="s">
        <v>11</v>
      </c>
    </row>
    <row r="1371" spans="1:14" x14ac:dyDescent="0.25">
      <c r="A1371" s="63" t="s">
        <v>8</v>
      </c>
      <c r="B1371" s="71" t="s">
        <v>3234</v>
      </c>
      <c r="C1371" s="2">
        <v>4099854306808</v>
      </c>
      <c r="D1371" s="95">
        <v>4058075460874</v>
      </c>
      <c r="E1371" s="96" t="s">
        <v>1232</v>
      </c>
      <c r="G1371" s="156" t="str">
        <f>HYPERLINK("https://ledvance.com/pt/product-datasheet/323753/307760","Ficha Técnica")</f>
        <v>Ficha Técnica</v>
      </c>
      <c r="H1371" s="15">
        <v>12</v>
      </c>
      <c r="I1371" s="163" t="s">
        <v>1821</v>
      </c>
      <c r="J1371" s="15" t="s">
        <v>4009</v>
      </c>
      <c r="K1371" s="163" t="s">
        <v>138</v>
      </c>
      <c r="L1371" s="15">
        <v>5</v>
      </c>
      <c r="M1371" s="188">
        <v>35.1</v>
      </c>
      <c r="N1371" s="169" t="s">
        <v>11</v>
      </c>
    </row>
    <row r="1372" spans="1:14" x14ac:dyDescent="0.25">
      <c r="A1372" s="63" t="s">
        <v>8</v>
      </c>
      <c r="B1372" s="71" t="s">
        <v>3235</v>
      </c>
      <c r="C1372" s="2">
        <v>4099854309465</v>
      </c>
      <c r="D1372" s="95">
        <v>4058075460935</v>
      </c>
      <c r="E1372" s="96" t="s">
        <v>1233</v>
      </c>
      <c r="G1372" s="156" t="str">
        <f>HYPERLINK("https://ledvance.com/pt/product-datasheet/323754/307763","Ficha Técnica")</f>
        <v>Ficha Técnica</v>
      </c>
      <c r="H1372" s="15">
        <v>12</v>
      </c>
      <c r="I1372" s="163" t="s">
        <v>1822</v>
      </c>
      <c r="J1372" s="15" t="s">
        <v>4005</v>
      </c>
      <c r="K1372" s="163" t="s">
        <v>138</v>
      </c>
      <c r="L1372" s="15">
        <v>5</v>
      </c>
      <c r="M1372" s="188">
        <v>43</v>
      </c>
      <c r="N1372" s="169" t="s">
        <v>11</v>
      </c>
    </row>
    <row r="1373" spans="1:14" x14ac:dyDescent="0.25">
      <c r="A1373" s="63" t="s">
        <v>8</v>
      </c>
      <c r="B1373" s="71" t="s">
        <v>3236</v>
      </c>
      <c r="C1373" s="2">
        <v>4099854309489</v>
      </c>
      <c r="D1373" s="95">
        <v>4058075460911</v>
      </c>
      <c r="E1373" s="96" t="s">
        <v>1234</v>
      </c>
      <c r="G1373" s="156" t="str">
        <f>HYPERLINK("https://ledvance.com/pt/product-datasheet/323754/307766","Ficha Técnica")</f>
        <v>Ficha Técnica</v>
      </c>
      <c r="H1373" s="15">
        <v>12</v>
      </c>
      <c r="I1373" s="163" t="s">
        <v>1822</v>
      </c>
      <c r="J1373" s="15" t="s">
        <v>4005</v>
      </c>
      <c r="K1373" s="163" t="s">
        <v>138</v>
      </c>
      <c r="L1373" s="15">
        <v>5</v>
      </c>
      <c r="M1373" s="188">
        <v>43</v>
      </c>
      <c r="N1373" s="169" t="s">
        <v>11</v>
      </c>
    </row>
    <row r="1374" spans="1:14" x14ac:dyDescent="0.25">
      <c r="A1374" s="63" t="s">
        <v>8</v>
      </c>
      <c r="B1374" s="71" t="s">
        <v>3237</v>
      </c>
      <c r="C1374" s="2">
        <v>4099854309502</v>
      </c>
      <c r="D1374" s="95">
        <v>4058075460973</v>
      </c>
      <c r="E1374" s="96" t="s">
        <v>1235</v>
      </c>
      <c r="G1374" s="156" t="str">
        <f>HYPERLINK("https://ledvance.com/pt/product-datasheet/323754/307769","Ficha Técnica")</f>
        <v>Ficha Técnica</v>
      </c>
      <c r="H1374" s="15">
        <v>12</v>
      </c>
      <c r="I1374" s="163" t="s">
        <v>1823</v>
      </c>
      <c r="J1374" s="15" t="s">
        <v>4005</v>
      </c>
      <c r="K1374" s="163" t="s">
        <v>138</v>
      </c>
      <c r="L1374" s="15">
        <v>5</v>
      </c>
      <c r="M1374" s="188">
        <v>43</v>
      </c>
      <c r="N1374" s="169" t="s">
        <v>11</v>
      </c>
    </row>
    <row r="1375" spans="1:14" x14ac:dyDescent="0.25">
      <c r="A1375" s="63" t="s">
        <v>8</v>
      </c>
      <c r="B1375" s="71" t="s">
        <v>3238</v>
      </c>
      <c r="C1375" s="2">
        <v>4099854309526</v>
      </c>
      <c r="D1375" s="95">
        <v>4058075460959</v>
      </c>
      <c r="E1375" s="96" t="s">
        <v>1236</v>
      </c>
      <c r="G1375" s="156" t="str">
        <f>HYPERLINK("https://ledvance.com/pt/product-datasheet/323754/307772","Ficha Técnica")</f>
        <v>Ficha Técnica</v>
      </c>
      <c r="H1375" s="15">
        <v>12</v>
      </c>
      <c r="I1375" s="163" t="s">
        <v>1823</v>
      </c>
      <c r="J1375" s="15" t="s">
        <v>4005</v>
      </c>
      <c r="K1375" s="163" t="s">
        <v>138</v>
      </c>
      <c r="L1375" s="15">
        <v>5</v>
      </c>
      <c r="M1375" s="188">
        <v>43</v>
      </c>
      <c r="N1375" s="169" t="s">
        <v>11</v>
      </c>
    </row>
    <row r="1376" spans="1:14" x14ac:dyDescent="0.25">
      <c r="A1376" s="63" t="s">
        <v>8</v>
      </c>
      <c r="B1376" s="71" t="s">
        <v>3239</v>
      </c>
      <c r="C1376" s="2">
        <v>4099854306822</v>
      </c>
      <c r="D1376" s="95">
        <v>4058075461017</v>
      </c>
      <c r="E1376" s="96" t="s">
        <v>1237</v>
      </c>
      <c r="G1376" s="156" t="str">
        <f>HYPERLINK("https://ledvance.com/pt/product-datasheet/323755/307775","Ficha Técnica")</f>
        <v>Ficha Técnica</v>
      </c>
      <c r="H1376" s="15">
        <v>8</v>
      </c>
      <c r="I1376" s="163" t="s">
        <v>1824</v>
      </c>
      <c r="J1376" s="15" t="s">
        <v>1825</v>
      </c>
      <c r="K1376" s="163" t="s">
        <v>138</v>
      </c>
      <c r="L1376" s="15">
        <v>5</v>
      </c>
      <c r="M1376" s="188">
        <v>79.8</v>
      </c>
      <c r="N1376" s="169" t="s">
        <v>11</v>
      </c>
    </row>
    <row r="1377" spans="1:14" x14ac:dyDescent="0.25">
      <c r="A1377" s="63" t="s">
        <v>8</v>
      </c>
      <c r="B1377" s="71" t="s">
        <v>3240</v>
      </c>
      <c r="C1377" s="2">
        <v>4099854306860</v>
      </c>
      <c r="D1377" s="95">
        <v>4058075460997</v>
      </c>
      <c r="E1377" s="96" t="s">
        <v>1238</v>
      </c>
      <c r="G1377" s="156" t="str">
        <f>HYPERLINK("https://ledvance.com/pt/product-datasheet/323755/307778","Ficha Técnica")</f>
        <v>Ficha Técnica</v>
      </c>
      <c r="H1377" s="15">
        <v>8</v>
      </c>
      <c r="I1377" s="163" t="s">
        <v>1824</v>
      </c>
      <c r="J1377" s="15" t="s">
        <v>1825</v>
      </c>
      <c r="K1377" s="163" t="s">
        <v>138</v>
      </c>
      <c r="L1377" s="15">
        <v>5</v>
      </c>
      <c r="M1377" s="188">
        <v>79.8</v>
      </c>
      <c r="N1377" s="169" t="s">
        <v>11</v>
      </c>
    </row>
    <row r="1378" spans="1:14" x14ac:dyDescent="0.25">
      <c r="A1378" s="63" t="s">
        <v>8</v>
      </c>
      <c r="B1378" s="71" t="s">
        <v>3241</v>
      </c>
      <c r="C1378" s="2">
        <v>4099854306884</v>
      </c>
      <c r="D1378" s="95">
        <v>4058075461055</v>
      </c>
      <c r="E1378" s="96" t="s">
        <v>1239</v>
      </c>
      <c r="G1378" s="156" t="str">
        <f>HYPERLINK("https://ledvance.com/pt/product-datasheet/323755/307781","Ficha Técnica")</f>
        <v>Ficha Técnica</v>
      </c>
      <c r="H1378" s="15">
        <v>8</v>
      </c>
      <c r="I1378" s="163" t="s">
        <v>1826</v>
      </c>
      <c r="J1378" s="15" t="s">
        <v>1825</v>
      </c>
      <c r="K1378" s="163" t="s">
        <v>138</v>
      </c>
      <c r="L1378" s="15">
        <v>5</v>
      </c>
      <c r="M1378" s="188">
        <v>79.8</v>
      </c>
      <c r="N1378" s="169" t="s">
        <v>11</v>
      </c>
    </row>
    <row r="1379" spans="1:14" x14ac:dyDescent="0.25">
      <c r="A1379" s="63" t="s">
        <v>8</v>
      </c>
      <c r="B1379" s="71" t="s">
        <v>3242</v>
      </c>
      <c r="C1379" s="2">
        <v>4099854306921</v>
      </c>
      <c r="D1379" s="95">
        <v>4058075461031</v>
      </c>
      <c r="E1379" s="96" t="s">
        <v>1240</v>
      </c>
      <c r="G1379" s="156" t="str">
        <f>HYPERLINK("https://ledvance.com/pt/product-datasheet/323755/307784","Ficha Técnica")</f>
        <v>Ficha Técnica</v>
      </c>
      <c r="H1379" s="15">
        <v>8</v>
      </c>
      <c r="I1379" s="163" t="s">
        <v>1826</v>
      </c>
      <c r="J1379" s="15" t="s">
        <v>1825</v>
      </c>
      <c r="K1379" s="163" t="s">
        <v>138</v>
      </c>
      <c r="L1379" s="15">
        <v>5</v>
      </c>
      <c r="M1379" s="188">
        <v>79.8</v>
      </c>
      <c r="N1379" s="169" t="s">
        <v>11</v>
      </c>
    </row>
    <row r="1380" spans="1:14" x14ac:dyDescent="0.25">
      <c r="A1380" s="66" t="s">
        <v>8</v>
      </c>
      <c r="B1380" s="69" t="s">
        <v>2154</v>
      </c>
      <c r="C1380" s="51"/>
      <c r="D1380" s="65"/>
      <c r="E1380" s="92"/>
      <c r="F1380" s="12"/>
      <c r="G1380" s="157"/>
      <c r="H1380" s="12"/>
      <c r="I1380" s="62"/>
      <c r="J1380" s="27"/>
      <c r="K1380" s="62"/>
      <c r="L1380" s="12"/>
      <c r="M1380" s="191"/>
      <c r="N1380" s="65"/>
    </row>
    <row r="1381" spans="1:14" x14ac:dyDescent="0.25">
      <c r="A1381" s="63" t="s">
        <v>8</v>
      </c>
      <c r="B1381" s="71" t="s">
        <v>3243</v>
      </c>
      <c r="C1381" s="2">
        <v>4099854306945</v>
      </c>
      <c r="D1381" s="95" t="s">
        <v>1990</v>
      </c>
      <c r="E1381" s="96" t="str">
        <f>+_xlfn.XLOOKUP(C1381,[1]Sheet1!$D$3:$D$71,[1]Sheet1!$F$3:$F$71)</f>
        <v>FL PFM 65 W 4000 K SYM 100 SL BK</v>
      </c>
      <c r="G1381" s="156" t="str">
        <f>HYPERLINK("https://ledvance.com/pt/product-datasheet/323756/307787","Ficha Técnica")</f>
        <v>Ficha Técnica</v>
      </c>
      <c r="H1381" s="15">
        <v>4</v>
      </c>
      <c r="I1381" s="163" t="s">
        <v>1829</v>
      </c>
      <c r="J1381" s="15" t="s">
        <v>1828</v>
      </c>
      <c r="K1381" s="163" t="s">
        <v>249</v>
      </c>
      <c r="L1381" s="15">
        <v>5</v>
      </c>
      <c r="M1381" s="188">
        <v>184.8</v>
      </c>
      <c r="N1381" s="169" t="s">
        <v>11</v>
      </c>
    </row>
    <row r="1382" spans="1:14" x14ac:dyDescent="0.25">
      <c r="A1382" s="63" t="s">
        <v>8</v>
      </c>
      <c r="B1382" s="71" t="s">
        <v>3244</v>
      </c>
      <c r="C1382" s="2">
        <v>4099854307003</v>
      </c>
      <c r="D1382" s="95">
        <f>+_xlfn.XLOOKUP(C1382,[1]Sheet1!$D$3:$D$71,[1]Sheet1!$E$3:$E$71)</f>
        <v>4058075461161</v>
      </c>
      <c r="E1382" s="96" t="str">
        <f>+_xlfn.XLOOKUP(C1382,[1]Sheet1!$D$3:$D$71,[1]Sheet1!$F$3:$F$71)</f>
        <v xml:space="preserve">FL PFM125W/4000K SYM100SL BK </v>
      </c>
      <c r="G1382" s="156" t="str">
        <f>HYPERLINK("https://ledvance.com/pt/product-datasheet/323757/307790","Ficha Técnica")</f>
        <v>Ficha Técnica</v>
      </c>
      <c r="H1382" s="15">
        <v>3</v>
      </c>
      <c r="I1382" s="163" t="s">
        <v>1832</v>
      </c>
      <c r="J1382" s="15" t="s">
        <v>1831</v>
      </c>
      <c r="K1382" s="163" t="s">
        <v>249</v>
      </c>
      <c r="L1382" s="15">
        <v>5</v>
      </c>
      <c r="M1382" s="188">
        <v>274.39999999999998</v>
      </c>
      <c r="N1382" s="169" t="s">
        <v>11</v>
      </c>
    </row>
    <row r="1383" spans="1:14" x14ac:dyDescent="0.25">
      <c r="A1383" s="63" t="s">
        <v>8</v>
      </c>
      <c r="B1383" s="71" t="s">
        <v>3245</v>
      </c>
      <c r="C1383" s="2">
        <v>4099854307041</v>
      </c>
      <c r="D1383" s="95" t="s">
        <v>1991</v>
      </c>
      <c r="E1383" s="96" t="str">
        <f>+_xlfn.XLOOKUP(C1383,[1]Sheet1!$D$3:$D$71,[1]Sheet1!$F$3:$F$71)</f>
        <v xml:space="preserve">FL PFM165W/4000K SYM100SL BK </v>
      </c>
      <c r="G1383" s="156" t="str">
        <f>HYPERLINK("https://ledvance.com/pt/product-datasheet/323758/307793","Ficha Técnica")</f>
        <v>Ficha Técnica</v>
      </c>
      <c r="H1383" s="15">
        <v>2</v>
      </c>
      <c r="I1383" s="163" t="s">
        <v>1835</v>
      </c>
      <c r="J1383" s="15" t="s">
        <v>1834</v>
      </c>
      <c r="K1383" s="163" t="s">
        <v>249</v>
      </c>
      <c r="L1383" s="15">
        <v>5</v>
      </c>
      <c r="M1383" s="188">
        <v>312.8</v>
      </c>
      <c r="N1383" s="169" t="s">
        <v>11</v>
      </c>
    </row>
    <row r="1384" spans="1:14" x14ac:dyDescent="0.25">
      <c r="A1384" s="66" t="s">
        <v>8</v>
      </c>
      <c r="B1384" s="69" t="s">
        <v>2155</v>
      </c>
      <c r="C1384" s="51"/>
      <c r="D1384" s="65"/>
      <c r="E1384" s="86"/>
      <c r="F1384" s="12"/>
      <c r="G1384" s="157"/>
      <c r="H1384" s="12"/>
      <c r="I1384" s="62"/>
      <c r="J1384" s="27"/>
      <c r="K1384" s="62"/>
      <c r="L1384" s="12"/>
      <c r="M1384" s="191"/>
      <c r="N1384" s="65"/>
    </row>
    <row r="1385" spans="1:14" x14ac:dyDescent="0.25">
      <c r="A1385" s="63" t="s">
        <v>8</v>
      </c>
      <c r="B1385" s="71" t="s">
        <v>3246</v>
      </c>
      <c r="C1385" s="2">
        <v>4058075574557</v>
      </c>
      <c r="D1385" s="84"/>
      <c r="E1385" s="85"/>
      <c r="F1385" s="17"/>
      <c r="G1385" s="156" t="str">
        <f>HYPERLINK("https://ledvance.com/pt/product-datasheet/156720/101446","Ficha Técnica")</f>
        <v>Ficha Técnica</v>
      </c>
      <c r="H1385" s="15">
        <v>8</v>
      </c>
      <c r="I1385" s="163">
        <v>900</v>
      </c>
      <c r="J1385" s="15">
        <v>10</v>
      </c>
      <c r="K1385" s="163" t="s">
        <v>138</v>
      </c>
      <c r="L1385" s="15">
        <v>3</v>
      </c>
      <c r="M1385" s="188">
        <v>16.3</v>
      </c>
      <c r="N1385" s="169" t="s">
        <v>11</v>
      </c>
    </row>
    <row r="1386" spans="1:14" x14ac:dyDescent="0.25">
      <c r="A1386" s="63" t="s">
        <v>8</v>
      </c>
      <c r="B1386" s="71" t="s">
        <v>3247</v>
      </c>
      <c r="C1386" s="2">
        <v>4058075574571</v>
      </c>
      <c r="D1386" s="84"/>
      <c r="E1386" s="85"/>
      <c r="F1386" s="17"/>
      <c r="G1386" s="156" t="str">
        <f>HYPERLINK("https://ledvance.com/pt/product-datasheet/156720/101449","Ficha Técnica")</f>
        <v>Ficha Técnica</v>
      </c>
      <c r="H1386" s="15">
        <v>8</v>
      </c>
      <c r="I1386" s="163">
        <v>900</v>
      </c>
      <c r="J1386" s="15">
        <v>10</v>
      </c>
      <c r="K1386" s="163" t="s">
        <v>138</v>
      </c>
      <c r="L1386" s="15">
        <v>3</v>
      </c>
      <c r="M1386" s="188">
        <v>16.3</v>
      </c>
      <c r="N1386" s="169" t="s">
        <v>11</v>
      </c>
    </row>
    <row r="1387" spans="1:14" x14ac:dyDescent="0.25">
      <c r="A1387" s="63" t="s">
        <v>8</v>
      </c>
      <c r="B1387" s="71" t="s">
        <v>3248</v>
      </c>
      <c r="C1387" s="2">
        <v>4058075574595</v>
      </c>
      <c r="D1387" s="84"/>
      <c r="E1387" s="85"/>
      <c r="F1387" s="17"/>
      <c r="G1387" s="156" t="str">
        <f>HYPERLINK("https://ledvance.com/pt/product-datasheet/156720/101452","Ficha Técnica")</f>
        <v>Ficha Técnica</v>
      </c>
      <c r="H1387" s="15">
        <v>8</v>
      </c>
      <c r="I1387" s="163">
        <v>1000</v>
      </c>
      <c r="J1387" s="15">
        <v>10</v>
      </c>
      <c r="K1387" s="163" t="s">
        <v>138</v>
      </c>
      <c r="L1387" s="15">
        <v>3</v>
      </c>
      <c r="M1387" s="188">
        <v>16.3</v>
      </c>
      <c r="N1387" s="169" t="s">
        <v>11</v>
      </c>
    </row>
    <row r="1388" spans="1:14" x14ac:dyDescent="0.25">
      <c r="A1388" s="63" t="s">
        <v>8</v>
      </c>
      <c r="B1388" s="71" t="s">
        <v>3249</v>
      </c>
      <c r="C1388" s="2">
        <v>4058075574618</v>
      </c>
      <c r="D1388" s="84"/>
      <c r="E1388" s="85"/>
      <c r="F1388" s="17"/>
      <c r="G1388" s="156" t="str">
        <f>HYPERLINK("https://ledvance.com/pt/product-datasheet/156720/101455","Ficha Técnica")</f>
        <v>Ficha Técnica</v>
      </c>
      <c r="H1388" s="15">
        <v>8</v>
      </c>
      <c r="I1388" s="163">
        <v>1000</v>
      </c>
      <c r="J1388" s="15">
        <v>10</v>
      </c>
      <c r="K1388" s="163" t="s">
        <v>138</v>
      </c>
      <c r="L1388" s="15">
        <v>3</v>
      </c>
      <c r="M1388" s="188">
        <v>16.3</v>
      </c>
      <c r="N1388" s="169" t="s">
        <v>11</v>
      </c>
    </row>
    <row r="1389" spans="1:14" x14ac:dyDescent="0.25">
      <c r="A1389" s="63" t="s">
        <v>8</v>
      </c>
      <c r="B1389" s="71" t="s">
        <v>3250</v>
      </c>
      <c r="C1389" s="2">
        <v>4058075574656</v>
      </c>
      <c r="D1389" s="84"/>
      <c r="E1389" s="85"/>
      <c r="F1389" s="17"/>
      <c r="G1389" s="156" t="str">
        <f>HYPERLINK("https://ledvance.com/pt/product-datasheet/156720/101458","Ficha Técnica")</f>
        <v>Ficha Técnica</v>
      </c>
      <c r="H1389" s="15">
        <v>8</v>
      </c>
      <c r="I1389" s="163">
        <v>1000</v>
      </c>
      <c r="J1389" s="15">
        <v>10</v>
      </c>
      <c r="K1389" s="163" t="s">
        <v>138</v>
      </c>
      <c r="L1389" s="15">
        <v>3</v>
      </c>
      <c r="M1389" s="188">
        <v>16.3</v>
      </c>
      <c r="N1389" s="169" t="s">
        <v>11</v>
      </c>
    </row>
    <row r="1390" spans="1:14" x14ac:dyDescent="0.25">
      <c r="A1390" s="63" t="s">
        <v>8</v>
      </c>
      <c r="B1390" s="71" t="s">
        <v>3251</v>
      </c>
      <c r="C1390" s="2">
        <v>4058075574694</v>
      </c>
      <c r="D1390" s="84"/>
      <c r="E1390" s="85"/>
      <c r="F1390" s="17"/>
      <c r="G1390" s="156" t="str">
        <f>HYPERLINK("https://ledvance.com/pt/product-datasheet/156720/101461","Ficha Técnica")</f>
        <v>Ficha Técnica</v>
      </c>
      <c r="H1390" s="15">
        <v>8</v>
      </c>
      <c r="I1390" s="163">
        <v>1000</v>
      </c>
      <c r="J1390" s="15">
        <v>10</v>
      </c>
      <c r="K1390" s="163" t="s">
        <v>138</v>
      </c>
      <c r="L1390" s="15">
        <v>3</v>
      </c>
      <c r="M1390" s="188">
        <v>16.3</v>
      </c>
      <c r="N1390" s="169" t="s">
        <v>11</v>
      </c>
    </row>
    <row r="1391" spans="1:14" x14ac:dyDescent="0.25">
      <c r="A1391" s="63" t="s">
        <v>8</v>
      </c>
      <c r="B1391" s="71" t="s">
        <v>3252</v>
      </c>
      <c r="C1391" s="2">
        <v>4058075574731</v>
      </c>
      <c r="D1391" s="84"/>
      <c r="E1391" s="85"/>
      <c r="F1391" s="17"/>
      <c r="G1391" s="156" t="str">
        <f>HYPERLINK("https://ledvance.com/pt/product-datasheet/156721/101464","Ficha Técnica")</f>
        <v>Ficha Técnica</v>
      </c>
      <c r="H1391" s="15">
        <v>8</v>
      </c>
      <c r="I1391" s="163">
        <v>1800</v>
      </c>
      <c r="J1391" s="15">
        <v>20</v>
      </c>
      <c r="K1391" s="163" t="s">
        <v>138</v>
      </c>
      <c r="L1391" s="15">
        <v>3</v>
      </c>
      <c r="M1391" s="188">
        <v>20.5</v>
      </c>
      <c r="N1391" s="169" t="s">
        <v>11</v>
      </c>
    </row>
    <row r="1392" spans="1:14" x14ac:dyDescent="0.25">
      <c r="A1392" s="63" t="s">
        <v>8</v>
      </c>
      <c r="B1392" s="71" t="s">
        <v>3253</v>
      </c>
      <c r="C1392" s="2">
        <v>4058075574755</v>
      </c>
      <c r="D1392" s="84"/>
      <c r="E1392" s="85"/>
      <c r="F1392" s="17"/>
      <c r="G1392" s="156" t="str">
        <f>HYPERLINK("https://ledvance.com/pt/product-datasheet/156721/101467","Ficha Técnica")</f>
        <v>Ficha Técnica</v>
      </c>
      <c r="H1392" s="15">
        <v>8</v>
      </c>
      <c r="I1392" s="163">
        <v>1800</v>
      </c>
      <c r="J1392" s="15">
        <v>20</v>
      </c>
      <c r="K1392" s="163" t="s">
        <v>138</v>
      </c>
      <c r="L1392" s="15">
        <v>3</v>
      </c>
      <c r="M1392" s="188">
        <v>20.5</v>
      </c>
      <c r="N1392" s="169" t="s">
        <v>11</v>
      </c>
    </row>
    <row r="1393" spans="1:14" x14ac:dyDescent="0.25">
      <c r="A1393" s="63" t="s">
        <v>8</v>
      </c>
      <c r="B1393" s="71" t="s">
        <v>3254</v>
      </c>
      <c r="C1393" s="2">
        <v>4058075574779</v>
      </c>
      <c r="D1393" s="84"/>
      <c r="E1393" s="85"/>
      <c r="F1393" s="17"/>
      <c r="G1393" s="156" t="str">
        <f>HYPERLINK("https://ledvance.com/pt/product-datasheet/156721/101470","Ficha Técnica")</f>
        <v>Ficha Técnica</v>
      </c>
      <c r="H1393" s="15">
        <v>8</v>
      </c>
      <c r="I1393" s="163">
        <v>2000</v>
      </c>
      <c r="J1393" s="15">
        <v>20</v>
      </c>
      <c r="K1393" s="163" t="s">
        <v>138</v>
      </c>
      <c r="L1393" s="15">
        <v>3</v>
      </c>
      <c r="M1393" s="188">
        <v>20.5</v>
      </c>
      <c r="N1393" s="169" t="s">
        <v>11</v>
      </c>
    </row>
    <row r="1394" spans="1:14" x14ac:dyDescent="0.25">
      <c r="A1394" s="63" t="s">
        <v>8</v>
      </c>
      <c r="B1394" s="71" t="s">
        <v>3255</v>
      </c>
      <c r="C1394" s="2">
        <v>4058075574793</v>
      </c>
      <c r="D1394" s="84"/>
      <c r="E1394" s="85"/>
      <c r="F1394" s="17"/>
      <c r="G1394" s="156" t="str">
        <f>HYPERLINK("https://ledvance.com/pt/product-datasheet/156721/101473","Ficha Técnica")</f>
        <v>Ficha Técnica</v>
      </c>
      <c r="H1394" s="15">
        <v>8</v>
      </c>
      <c r="I1394" s="163">
        <v>2000</v>
      </c>
      <c r="J1394" s="15">
        <v>20</v>
      </c>
      <c r="K1394" s="163" t="s">
        <v>138</v>
      </c>
      <c r="L1394" s="15">
        <v>3</v>
      </c>
      <c r="M1394" s="188">
        <v>20.5</v>
      </c>
      <c r="N1394" s="169" t="s">
        <v>11</v>
      </c>
    </row>
    <row r="1395" spans="1:14" x14ac:dyDescent="0.25">
      <c r="A1395" s="63" t="s">
        <v>8</v>
      </c>
      <c r="B1395" s="71" t="s">
        <v>3256</v>
      </c>
      <c r="C1395" s="2">
        <v>4058075574816</v>
      </c>
      <c r="D1395" s="84"/>
      <c r="E1395" s="85"/>
      <c r="F1395" s="17"/>
      <c r="G1395" s="156" t="str">
        <f>HYPERLINK("https://ledvance.com/pt/product-datasheet/156721/101476","Ficha Técnica")</f>
        <v>Ficha Técnica</v>
      </c>
      <c r="H1395" s="15">
        <v>8</v>
      </c>
      <c r="I1395" s="163">
        <v>2000</v>
      </c>
      <c r="J1395" s="15">
        <v>20</v>
      </c>
      <c r="K1395" s="163" t="s">
        <v>138</v>
      </c>
      <c r="L1395" s="15">
        <v>3</v>
      </c>
      <c r="M1395" s="188">
        <v>20.5</v>
      </c>
      <c r="N1395" s="169" t="s">
        <v>11</v>
      </c>
    </row>
    <row r="1396" spans="1:14" x14ac:dyDescent="0.25">
      <c r="A1396" s="63" t="s">
        <v>8</v>
      </c>
      <c r="B1396" s="71" t="s">
        <v>3257</v>
      </c>
      <c r="C1396" s="2">
        <v>4058075574830</v>
      </c>
      <c r="D1396" s="84"/>
      <c r="E1396" s="85"/>
      <c r="F1396" s="17"/>
      <c r="G1396" s="156" t="str">
        <f>HYPERLINK("https://ledvance.com/pt/product-datasheet/156721/101479","Ficha Técnica")</f>
        <v>Ficha Técnica</v>
      </c>
      <c r="H1396" s="15">
        <v>8</v>
      </c>
      <c r="I1396" s="163">
        <v>2000</v>
      </c>
      <c r="J1396" s="15">
        <v>20</v>
      </c>
      <c r="K1396" s="163" t="s">
        <v>138</v>
      </c>
      <c r="L1396" s="15">
        <v>3</v>
      </c>
      <c r="M1396" s="188">
        <v>20.5</v>
      </c>
      <c r="N1396" s="169" t="s">
        <v>11</v>
      </c>
    </row>
    <row r="1397" spans="1:14" x14ac:dyDescent="0.25">
      <c r="A1397" s="63" t="s">
        <v>8</v>
      </c>
      <c r="B1397" s="71" t="s">
        <v>3258</v>
      </c>
      <c r="C1397" s="2">
        <v>4058075574854</v>
      </c>
      <c r="D1397" s="84"/>
      <c r="E1397" s="85"/>
      <c r="F1397" s="17"/>
      <c r="G1397" s="156" t="str">
        <f>HYPERLINK("https://ledvance.com/pt/product-datasheet/156722/101482","Ficha Técnica")</f>
        <v>Ficha Técnica</v>
      </c>
      <c r="H1397" s="15">
        <v>8</v>
      </c>
      <c r="I1397" s="163">
        <v>4500</v>
      </c>
      <c r="J1397" s="15">
        <v>50</v>
      </c>
      <c r="K1397" s="163" t="s">
        <v>138</v>
      </c>
      <c r="L1397" s="15">
        <v>3</v>
      </c>
      <c r="M1397" s="188">
        <v>35.6</v>
      </c>
      <c r="N1397" s="169" t="s">
        <v>11</v>
      </c>
    </row>
    <row r="1398" spans="1:14" x14ac:dyDescent="0.25">
      <c r="A1398" s="63" t="s">
        <v>8</v>
      </c>
      <c r="B1398" s="71" t="s">
        <v>3259</v>
      </c>
      <c r="C1398" s="2">
        <v>4058075574878</v>
      </c>
      <c r="D1398" s="84"/>
      <c r="E1398" s="85"/>
      <c r="F1398" s="17"/>
      <c r="G1398" s="156" t="str">
        <f>HYPERLINK("https://ledvance.com/pt/product-datasheet/156722/101485","Ficha Técnica")</f>
        <v>Ficha Técnica</v>
      </c>
      <c r="H1398" s="15">
        <v>8</v>
      </c>
      <c r="I1398" s="163">
        <v>4500</v>
      </c>
      <c r="J1398" s="15">
        <v>50</v>
      </c>
      <c r="K1398" s="163" t="s">
        <v>138</v>
      </c>
      <c r="L1398" s="15">
        <v>3</v>
      </c>
      <c r="M1398" s="188">
        <v>35.6</v>
      </c>
      <c r="N1398" s="169" t="s">
        <v>11</v>
      </c>
    </row>
    <row r="1399" spans="1:14" x14ac:dyDescent="0.25">
      <c r="A1399" s="63" t="s">
        <v>8</v>
      </c>
      <c r="B1399" s="71" t="s">
        <v>3260</v>
      </c>
      <c r="C1399" s="2">
        <v>4058075574892</v>
      </c>
      <c r="D1399" s="84"/>
      <c r="E1399" s="85"/>
      <c r="F1399" s="17"/>
      <c r="G1399" s="156" t="str">
        <f>HYPERLINK("https://ledvance.com/pt/product-datasheet/156722/101488","Ficha Técnica")</f>
        <v>Ficha Técnica</v>
      </c>
      <c r="H1399" s="15">
        <v>8</v>
      </c>
      <c r="I1399" s="163">
        <v>5000</v>
      </c>
      <c r="J1399" s="15">
        <v>50</v>
      </c>
      <c r="K1399" s="163" t="s">
        <v>138</v>
      </c>
      <c r="L1399" s="15">
        <v>3</v>
      </c>
      <c r="M1399" s="188">
        <v>35.6</v>
      </c>
      <c r="N1399" s="169" t="s">
        <v>11</v>
      </c>
    </row>
    <row r="1400" spans="1:14" x14ac:dyDescent="0.25">
      <c r="A1400" s="63" t="s">
        <v>8</v>
      </c>
      <c r="B1400" s="71" t="s">
        <v>3261</v>
      </c>
      <c r="C1400" s="2">
        <v>4058075574915</v>
      </c>
      <c r="D1400" s="84"/>
      <c r="E1400" s="85"/>
      <c r="F1400" s="17"/>
      <c r="G1400" s="156" t="str">
        <f>HYPERLINK("https://ledvance.com/pt/product-datasheet/156722/101491","Ficha Técnica")</f>
        <v>Ficha Técnica</v>
      </c>
      <c r="H1400" s="15">
        <v>8</v>
      </c>
      <c r="I1400" s="163">
        <v>5000</v>
      </c>
      <c r="J1400" s="15">
        <v>50</v>
      </c>
      <c r="K1400" s="163" t="s">
        <v>138</v>
      </c>
      <c r="L1400" s="15">
        <v>3</v>
      </c>
      <c r="M1400" s="188">
        <v>35.6</v>
      </c>
      <c r="N1400" s="169" t="s">
        <v>11</v>
      </c>
    </row>
    <row r="1401" spans="1:14" x14ac:dyDescent="0.25">
      <c r="A1401" s="63" t="s">
        <v>8</v>
      </c>
      <c r="B1401" s="71" t="s">
        <v>3262</v>
      </c>
      <c r="C1401" s="2">
        <v>4058075574939</v>
      </c>
      <c r="D1401" s="84"/>
      <c r="E1401" s="85"/>
      <c r="F1401" s="17"/>
      <c r="G1401" s="156" t="str">
        <f>HYPERLINK("https://ledvance.com/pt/product-datasheet/156722/101494","Ficha Técnica")</f>
        <v>Ficha Técnica</v>
      </c>
      <c r="H1401" s="15">
        <v>8</v>
      </c>
      <c r="I1401" s="163">
        <v>5000</v>
      </c>
      <c r="J1401" s="15">
        <v>50</v>
      </c>
      <c r="K1401" s="163" t="s">
        <v>138</v>
      </c>
      <c r="L1401" s="15">
        <v>3</v>
      </c>
      <c r="M1401" s="188">
        <v>35.6</v>
      </c>
      <c r="N1401" s="169" t="s">
        <v>11</v>
      </c>
    </row>
    <row r="1402" spans="1:14" x14ac:dyDescent="0.25">
      <c r="A1402" s="63" t="s">
        <v>8</v>
      </c>
      <c r="B1402" s="71" t="s">
        <v>3263</v>
      </c>
      <c r="C1402" s="2">
        <v>4058075574960</v>
      </c>
      <c r="D1402" s="84"/>
      <c r="E1402" s="85"/>
      <c r="F1402" s="17"/>
      <c r="G1402" s="156" t="str">
        <f>HYPERLINK("https://ledvance.com/pt/product-datasheet/156722/101497","Ficha Técnica")</f>
        <v>Ficha Técnica</v>
      </c>
      <c r="H1402" s="15">
        <v>8</v>
      </c>
      <c r="I1402" s="163">
        <v>5000</v>
      </c>
      <c r="J1402" s="15">
        <v>50</v>
      </c>
      <c r="K1402" s="163" t="s">
        <v>138</v>
      </c>
      <c r="L1402" s="15">
        <v>3</v>
      </c>
      <c r="M1402" s="188">
        <v>35.6</v>
      </c>
      <c r="N1402" s="169" t="s">
        <v>11</v>
      </c>
    </row>
    <row r="1403" spans="1:14" x14ac:dyDescent="0.25">
      <c r="A1403" s="63" t="s">
        <v>8</v>
      </c>
      <c r="B1403" s="71" t="s">
        <v>3264</v>
      </c>
      <c r="C1403" s="2">
        <v>4058075574984</v>
      </c>
      <c r="D1403" s="84"/>
      <c r="E1403" s="85"/>
      <c r="F1403" s="17"/>
      <c r="G1403" s="156" t="str">
        <f>HYPERLINK("https://ledvance.com/pt/product-datasheet/156723/101500","Ficha Técnica")</f>
        <v>Ficha Técnica</v>
      </c>
      <c r="H1403" s="15">
        <v>2</v>
      </c>
      <c r="I1403" s="163">
        <v>8100</v>
      </c>
      <c r="J1403" s="15">
        <v>90</v>
      </c>
      <c r="K1403" s="163" t="s">
        <v>138</v>
      </c>
      <c r="L1403" s="15">
        <v>3</v>
      </c>
      <c r="M1403" s="188">
        <v>119.7</v>
      </c>
      <c r="N1403" s="169" t="s">
        <v>11</v>
      </c>
    </row>
    <row r="1404" spans="1:14" x14ac:dyDescent="0.25">
      <c r="A1404" s="63" t="s">
        <v>8</v>
      </c>
      <c r="B1404" s="71" t="s">
        <v>3265</v>
      </c>
      <c r="C1404" s="2">
        <v>4058075575004</v>
      </c>
      <c r="D1404" s="84"/>
      <c r="E1404" s="85"/>
      <c r="F1404" s="17"/>
      <c r="G1404" s="156" t="str">
        <f>HYPERLINK("https://ledvance.com/pt/product-datasheet/156723/101503","Ficha Técnica")</f>
        <v>Ficha Técnica</v>
      </c>
      <c r="H1404" s="15">
        <v>2</v>
      </c>
      <c r="I1404" s="163">
        <v>9000</v>
      </c>
      <c r="J1404" s="15">
        <v>90</v>
      </c>
      <c r="K1404" s="163" t="s">
        <v>138</v>
      </c>
      <c r="L1404" s="15">
        <v>3</v>
      </c>
      <c r="M1404" s="188">
        <v>119.7</v>
      </c>
      <c r="N1404" s="169" t="s">
        <v>11</v>
      </c>
    </row>
    <row r="1405" spans="1:14" x14ac:dyDescent="0.25">
      <c r="A1405" s="63" t="s">
        <v>8</v>
      </c>
      <c r="B1405" s="71" t="s">
        <v>3266</v>
      </c>
      <c r="C1405" s="2">
        <v>4058075575080</v>
      </c>
      <c r="D1405" s="84"/>
      <c r="E1405" s="85"/>
      <c r="F1405" s="17"/>
      <c r="G1405" s="156" t="str">
        <f>HYPERLINK("https://ledvance.com/pt/product-datasheet/156723/101334","Ficha Técnica")</f>
        <v>Ficha Técnica</v>
      </c>
      <c r="H1405" s="15">
        <v>2</v>
      </c>
      <c r="I1405" s="163">
        <v>9000</v>
      </c>
      <c r="J1405" s="15">
        <v>90</v>
      </c>
      <c r="K1405" s="163" t="s">
        <v>138</v>
      </c>
      <c r="L1405" s="15">
        <v>3</v>
      </c>
      <c r="M1405" s="188">
        <v>119.7</v>
      </c>
      <c r="N1405" s="169" t="s">
        <v>11</v>
      </c>
    </row>
    <row r="1406" spans="1:14" x14ac:dyDescent="0.25">
      <c r="A1406" s="63" t="s">
        <v>8</v>
      </c>
      <c r="B1406" s="71" t="s">
        <v>3267</v>
      </c>
      <c r="C1406" s="2">
        <v>4058075575103</v>
      </c>
      <c r="D1406" s="84"/>
      <c r="E1406" s="85"/>
      <c r="F1406" s="17"/>
      <c r="G1406" s="156" t="str">
        <f>HYPERLINK("https://ledvance.com/pt/product-datasheet/156724/101337","Ficha Técnica")</f>
        <v>Ficha Técnica</v>
      </c>
      <c r="H1406" s="15">
        <v>2</v>
      </c>
      <c r="I1406" s="163">
        <v>12150</v>
      </c>
      <c r="J1406" s="15">
        <v>135</v>
      </c>
      <c r="K1406" s="163" t="s">
        <v>138</v>
      </c>
      <c r="L1406" s="15">
        <v>3</v>
      </c>
      <c r="M1406" s="188">
        <v>179.6</v>
      </c>
      <c r="N1406" s="169" t="s">
        <v>11</v>
      </c>
    </row>
    <row r="1407" spans="1:14" x14ac:dyDescent="0.25">
      <c r="A1407" s="63" t="s">
        <v>8</v>
      </c>
      <c r="B1407" s="71" t="s">
        <v>3268</v>
      </c>
      <c r="C1407" s="2">
        <v>4058075575127</v>
      </c>
      <c r="D1407" s="84"/>
      <c r="E1407" s="85"/>
      <c r="F1407" s="17"/>
      <c r="G1407" s="156" t="str">
        <f>HYPERLINK("https://ledvance.com/pt/product-datasheet/156724/101340","Ficha Técnica")</f>
        <v>Ficha Técnica</v>
      </c>
      <c r="H1407" s="15">
        <v>2</v>
      </c>
      <c r="I1407" s="163">
        <v>13500</v>
      </c>
      <c r="J1407" s="15">
        <v>135</v>
      </c>
      <c r="K1407" s="163" t="s">
        <v>138</v>
      </c>
      <c r="L1407" s="15">
        <v>3</v>
      </c>
      <c r="M1407" s="188">
        <v>179.6</v>
      </c>
      <c r="N1407" s="169" t="s">
        <v>11</v>
      </c>
    </row>
    <row r="1408" spans="1:14" x14ac:dyDescent="0.25">
      <c r="A1408" s="63" t="s">
        <v>8</v>
      </c>
      <c r="B1408" s="71" t="s">
        <v>3269</v>
      </c>
      <c r="C1408" s="2">
        <v>4058075575141</v>
      </c>
      <c r="D1408" s="84"/>
      <c r="E1408" s="85"/>
      <c r="F1408" s="17"/>
      <c r="G1408" s="156" t="str">
        <f>HYPERLINK("https://ledvance.com/pt/product-datasheet/156724/101343","Ficha Técnica")</f>
        <v>Ficha Técnica</v>
      </c>
      <c r="H1408" s="15">
        <v>2</v>
      </c>
      <c r="I1408" s="163">
        <v>13500</v>
      </c>
      <c r="J1408" s="15">
        <v>135</v>
      </c>
      <c r="K1408" s="163" t="s">
        <v>138</v>
      </c>
      <c r="L1408" s="15">
        <v>3</v>
      </c>
      <c r="M1408" s="188">
        <v>179.6</v>
      </c>
      <c r="N1408" s="169" t="s">
        <v>11</v>
      </c>
    </row>
    <row r="1409" spans="1:14" x14ac:dyDescent="0.25">
      <c r="A1409" s="63" t="s">
        <v>8</v>
      </c>
      <c r="B1409" s="71" t="s">
        <v>3270</v>
      </c>
      <c r="C1409" s="2">
        <v>4058075575165</v>
      </c>
      <c r="D1409" s="84"/>
      <c r="E1409" s="85"/>
      <c r="F1409" s="17"/>
      <c r="G1409" s="156" t="str">
        <f>HYPERLINK("https://ledvance.com/pt/product-datasheet/156725/101346","Ficha Técnica")</f>
        <v>Ficha Técnica</v>
      </c>
      <c r="H1409" s="15">
        <v>2</v>
      </c>
      <c r="I1409" s="163">
        <v>16800</v>
      </c>
      <c r="J1409" s="15">
        <v>180</v>
      </c>
      <c r="K1409" s="163" t="s">
        <v>138</v>
      </c>
      <c r="L1409" s="15">
        <v>3</v>
      </c>
      <c r="M1409" s="188">
        <v>221.5</v>
      </c>
      <c r="N1409" s="169" t="s">
        <v>11</v>
      </c>
    </row>
    <row r="1410" spans="1:14" x14ac:dyDescent="0.25">
      <c r="A1410" s="63" t="s">
        <v>8</v>
      </c>
      <c r="B1410" s="71" t="s">
        <v>3271</v>
      </c>
      <c r="C1410" s="2">
        <v>4058075575189</v>
      </c>
      <c r="D1410" s="84"/>
      <c r="E1410" s="85"/>
      <c r="F1410" s="17"/>
      <c r="G1410" s="156" t="str">
        <f>HYPERLINK("https://ledvance.com/pt/product-datasheet/156725/101349","Ficha Técnica")</f>
        <v>Ficha Técnica</v>
      </c>
      <c r="H1410" s="15">
        <v>2</v>
      </c>
      <c r="I1410" s="163">
        <v>18000</v>
      </c>
      <c r="J1410" s="15">
        <v>180</v>
      </c>
      <c r="K1410" s="163" t="s">
        <v>138</v>
      </c>
      <c r="L1410" s="15">
        <v>3</v>
      </c>
      <c r="M1410" s="188">
        <v>221.5</v>
      </c>
      <c r="N1410" s="169" t="s">
        <v>11</v>
      </c>
    </row>
    <row r="1411" spans="1:14" x14ac:dyDescent="0.25">
      <c r="A1411" s="63" t="s">
        <v>8</v>
      </c>
      <c r="B1411" s="71" t="s">
        <v>3272</v>
      </c>
      <c r="C1411" s="2">
        <v>4058075575202</v>
      </c>
      <c r="D1411" s="84"/>
      <c r="E1411" s="85"/>
      <c r="F1411" s="17"/>
      <c r="G1411" s="156" t="str">
        <f>HYPERLINK("https://ledvance.com/pt/product-datasheet/156725/101352","Ficha Técnica")</f>
        <v>Ficha Técnica</v>
      </c>
      <c r="H1411" s="15">
        <v>2</v>
      </c>
      <c r="I1411" s="163">
        <v>18000</v>
      </c>
      <c r="J1411" s="15">
        <v>180</v>
      </c>
      <c r="K1411" s="163" t="s">
        <v>138</v>
      </c>
      <c r="L1411" s="15">
        <v>3</v>
      </c>
      <c r="M1411" s="188">
        <v>221.5</v>
      </c>
      <c r="N1411" s="169" t="s">
        <v>11</v>
      </c>
    </row>
    <row r="1412" spans="1:14" x14ac:dyDescent="0.25">
      <c r="A1412" s="66" t="s">
        <v>8</v>
      </c>
      <c r="B1412" s="69" t="s">
        <v>1442</v>
      </c>
      <c r="C1412" s="51"/>
      <c r="D1412" s="65"/>
      <c r="E1412" s="86"/>
      <c r="F1412" s="12"/>
      <c r="G1412" s="157"/>
      <c r="H1412" s="12"/>
      <c r="I1412" s="62"/>
      <c r="J1412" s="27"/>
      <c r="K1412" s="62"/>
      <c r="L1412" s="12"/>
      <c r="M1412" s="191"/>
      <c r="N1412" s="65"/>
    </row>
    <row r="1413" spans="1:14" x14ac:dyDescent="0.25">
      <c r="A1413" s="63" t="s">
        <v>8</v>
      </c>
      <c r="B1413" s="71" t="s">
        <v>3273</v>
      </c>
      <c r="C1413" s="2">
        <v>4058075575226</v>
      </c>
      <c r="D1413" s="84"/>
      <c r="E1413" s="85"/>
      <c r="F1413" s="17"/>
      <c r="G1413" s="156" t="str">
        <f>HYPERLINK("https://ledvance.com/pt/product-datasheet/156737/101355","Ficha Técnica")</f>
        <v>Ficha Técnica</v>
      </c>
      <c r="H1413" s="15">
        <v>8</v>
      </c>
      <c r="I1413" s="163">
        <v>900</v>
      </c>
      <c r="J1413" s="15">
        <v>10</v>
      </c>
      <c r="K1413" s="163" t="s">
        <v>138</v>
      </c>
      <c r="L1413" s="15">
        <v>3</v>
      </c>
      <c r="M1413" s="188">
        <v>29.1</v>
      </c>
      <c r="N1413" s="169" t="s">
        <v>11</v>
      </c>
    </row>
    <row r="1414" spans="1:14" x14ac:dyDescent="0.25">
      <c r="A1414" s="63" t="s">
        <v>8</v>
      </c>
      <c r="B1414" s="71" t="s">
        <v>3274</v>
      </c>
      <c r="C1414" s="2">
        <v>4058075575240</v>
      </c>
      <c r="D1414" s="84"/>
      <c r="E1414" s="85"/>
      <c r="F1414" s="17"/>
      <c r="G1414" s="156" t="str">
        <f>HYPERLINK("https://ledvance.com/pt/product-datasheet/156737/101358","Ficha Técnica")</f>
        <v>Ficha Técnica</v>
      </c>
      <c r="H1414" s="15">
        <v>8</v>
      </c>
      <c r="I1414" s="163">
        <v>1000</v>
      </c>
      <c r="J1414" s="15">
        <v>10</v>
      </c>
      <c r="K1414" s="163" t="s">
        <v>138</v>
      </c>
      <c r="L1414" s="15">
        <v>3</v>
      </c>
      <c r="M1414" s="188">
        <v>29.1</v>
      </c>
      <c r="N1414" s="169" t="s">
        <v>11</v>
      </c>
    </row>
    <row r="1415" spans="1:14" x14ac:dyDescent="0.25">
      <c r="A1415" s="63" t="s">
        <v>8</v>
      </c>
      <c r="B1415" s="71" t="s">
        <v>3275</v>
      </c>
      <c r="C1415" s="2">
        <v>4058075575264</v>
      </c>
      <c r="D1415" s="84"/>
      <c r="E1415" s="85"/>
      <c r="F1415" s="17"/>
      <c r="G1415" s="156" t="str">
        <f>HYPERLINK("https://ledvance.com/pt/product-datasheet/156738/101361","Ficha Técnica")</f>
        <v>Ficha Técnica</v>
      </c>
      <c r="H1415" s="15">
        <v>8</v>
      </c>
      <c r="I1415" s="163">
        <v>1800</v>
      </c>
      <c r="J1415" s="15">
        <v>20</v>
      </c>
      <c r="K1415" s="163" t="s">
        <v>138</v>
      </c>
      <c r="L1415" s="15">
        <v>3</v>
      </c>
      <c r="M1415" s="188">
        <v>32.5</v>
      </c>
      <c r="N1415" s="169" t="s">
        <v>11</v>
      </c>
    </row>
    <row r="1416" spans="1:14" x14ac:dyDescent="0.25">
      <c r="A1416" s="63" t="s">
        <v>8</v>
      </c>
      <c r="B1416" s="71" t="s">
        <v>3276</v>
      </c>
      <c r="C1416" s="2">
        <v>4058075575288</v>
      </c>
      <c r="D1416" s="84"/>
      <c r="E1416" s="85"/>
      <c r="F1416" s="17"/>
      <c r="G1416" s="156" t="str">
        <f>HYPERLINK("https://ledvance.com/pt/product-datasheet/156738/101364","Ficha Técnica")</f>
        <v>Ficha Técnica</v>
      </c>
      <c r="H1416" s="15">
        <v>8</v>
      </c>
      <c r="I1416" s="163">
        <v>2000</v>
      </c>
      <c r="J1416" s="15">
        <v>20</v>
      </c>
      <c r="K1416" s="163" t="s">
        <v>138</v>
      </c>
      <c r="L1416" s="15">
        <v>3</v>
      </c>
      <c r="M1416" s="188">
        <v>32.5</v>
      </c>
      <c r="N1416" s="169" t="s">
        <v>11</v>
      </c>
    </row>
    <row r="1417" spans="1:14" x14ac:dyDescent="0.25">
      <c r="A1417" s="63" t="s">
        <v>8</v>
      </c>
      <c r="B1417" s="71" t="s">
        <v>3277</v>
      </c>
      <c r="C1417" s="2">
        <v>4058075575301</v>
      </c>
      <c r="D1417" s="84"/>
      <c r="E1417" s="85"/>
      <c r="F1417" s="17"/>
      <c r="G1417" s="156" t="str">
        <f>HYPERLINK("https://ledvance.com/pt/product-datasheet/156739/101367","Ficha Técnica")</f>
        <v>Ficha Técnica</v>
      </c>
      <c r="H1417" s="15">
        <v>8</v>
      </c>
      <c r="I1417" s="163">
        <v>4500</v>
      </c>
      <c r="J1417" s="15">
        <v>50</v>
      </c>
      <c r="K1417" s="163" t="s">
        <v>138</v>
      </c>
      <c r="L1417" s="15">
        <v>3</v>
      </c>
      <c r="M1417" s="188">
        <v>60.1</v>
      </c>
      <c r="N1417" s="169" t="s">
        <v>11</v>
      </c>
    </row>
    <row r="1418" spans="1:14" x14ac:dyDescent="0.25">
      <c r="A1418" s="63" t="s">
        <v>8</v>
      </c>
      <c r="B1418" s="71" t="s">
        <v>3278</v>
      </c>
      <c r="C1418" s="2">
        <v>4058075575325</v>
      </c>
      <c r="D1418" s="84"/>
      <c r="E1418" s="85"/>
      <c r="F1418" s="17"/>
      <c r="G1418" s="156" t="str">
        <f>HYPERLINK("https://ledvance.com/pt/product-datasheet/156739/101370","Ficha Técnica")</f>
        <v>Ficha Técnica</v>
      </c>
      <c r="H1418" s="15">
        <v>8</v>
      </c>
      <c r="I1418" s="163">
        <v>5000</v>
      </c>
      <c r="J1418" s="15">
        <v>50</v>
      </c>
      <c r="K1418" s="163" t="s">
        <v>138</v>
      </c>
      <c r="L1418" s="15">
        <v>3</v>
      </c>
      <c r="M1418" s="188">
        <v>60.1</v>
      </c>
      <c r="N1418" s="169" t="s">
        <v>11</v>
      </c>
    </row>
    <row r="1419" spans="1:14" x14ac:dyDescent="0.25">
      <c r="A1419" s="66" t="s">
        <v>8</v>
      </c>
      <c r="B1419" s="69" t="s">
        <v>2156</v>
      </c>
      <c r="C1419" s="51"/>
      <c r="D1419" s="65"/>
      <c r="E1419" s="86"/>
      <c r="F1419" s="12"/>
      <c r="G1419" s="157"/>
      <c r="H1419" s="12"/>
      <c r="I1419" s="62"/>
      <c r="J1419" s="27"/>
      <c r="K1419" s="62"/>
      <c r="L1419" s="12"/>
      <c r="M1419" s="191"/>
      <c r="N1419" s="65"/>
    </row>
    <row r="1420" spans="1:14" x14ac:dyDescent="0.25">
      <c r="A1420" s="63" t="s">
        <v>8</v>
      </c>
      <c r="B1420" s="71" t="s">
        <v>282</v>
      </c>
      <c r="C1420" s="2">
        <v>4058075539730</v>
      </c>
      <c r="D1420" s="84"/>
      <c r="E1420" s="85"/>
      <c r="F1420" s="17"/>
      <c r="G1420" s="156" t="str">
        <f>HYPERLINK("https://ledvance.com/pt/product-datasheet/8927/79348","Ficha Técnica")</f>
        <v>Ficha Técnica</v>
      </c>
      <c r="H1420" s="15">
        <v>1</v>
      </c>
      <c r="I1420" s="163">
        <v>9200</v>
      </c>
      <c r="J1420" s="15">
        <v>72</v>
      </c>
      <c r="K1420" s="163" t="s">
        <v>138</v>
      </c>
      <c r="L1420" s="15">
        <v>5</v>
      </c>
      <c r="M1420" s="188">
        <v>186.5</v>
      </c>
      <c r="N1420" s="169" t="s">
        <v>11</v>
      </c>
    </row>
    <row r="1421" spans="1:14" x14ac:dyDescent="0.25">
      <c r="A1421" s="63" t="s">
        <v>8</v>
      </c>
      <c r="B1421" s="71" t="s">
        <v>283</v>
      </c>
      <c r="C1421" s="2">
        <v>4058075539747</v>
      </c>
      <c r="D1421" s="84"/>
      <c r="E1421" s="85"/>
      <c r="F1421" s="17"/>
      <c r="G1421" s="156" t="str">
        <f>HYPERLINK("https://ledvance.com/pt/product-datasheet/8927/79350","Ficha Técnica")</f>
        <v>Ficha Técnica</v>
      </c>
      <c r="H1421" s="15">
        <v>1</v>
      </c>
      <c r="I1421" s="163">
        <v>10000</v>
      </c>
      <c r="J1421" s="15">
        <v>72</v>
      </c>
      <c r="K1421" s="163" t="s">
        <v>138</v>
      </c>
      <c r="L1421" s="15">
        <v>5</v>
      </c>
      <c r="M1421" s="188">
        <v>186.5</v>
      </c>
      <c r="N1421" s="169" t="s">
        <v>11</v>
      </c>
    </row>
    <row r="1422" spans="1:14" x14ac:dyDescent="0.25">
      <c r="A1422" s="63" t="s">
        <v>8</v>
      </c>
      <c r="B1422" s="71" t="s">
        <v>284</v>
      </c>
      <c r="C1422" s="2">
        <v>4058075539754</v>
      </c>
      <c r="D1422" s="84"/>
      <c r="E1422" s="85"/>
      <c r="F1422" s="17"/>
      <c r="G1422" s="156" t="str">
        <f>HYPERLINK("https://ledvance.com/pt/product-datasheet/8927/79352","Ficha Técnica")</f>
        <v>Ficha Técnica</v>
      </c>
      <c r="H1422" s="15">
        <v>1</v>
      </c>
      <c r="I1422" s="163">
        <v>13750</v>
      </c>
      <c r="J1422" s="15">
        <v>105</v>
      </c>
      <c r="K1422" s="163" t="s">
        <v>138</v>
      </c>
      <c r="L1422" s="15">
        <v>5</v>
      </c>
      <c r="M1422" s="188">
        <v>264.3</v>
      </c>
      <c r="N1422" s="169" t="s">
        <v>11</v>
      </c>
    </row>
    <row r="1423" spans="1:14" x14ac:dyDescent="0.25">
      <c r="A1423" s="63" t="s">
        <v>8</v>
      </c>
      <c r="B1423" s="71" t="s">
        <v>285</v>
      </c>
      <c r="C1423" s="2">
        <v>4058075539761</v>
      </c>
      <c r="D1423" s="84"/>
      <c r="E1423" s="85"/>
      <c r="F1423" s="17"/>
      <c r="G1423" s="156" t="str">
        <f>HYPERLINK("https://ledvance.com/pt/product-datasheet/8927/79354","Ficha Técnica")</f>
        <v>Ficha Técnica</v>
      </c>
      <c r="H1423" s="15">
        <v>1</v>
      </c>
      <c r="I1423" s="163">
        <v>15000</v>
      </c>
      <c r="J1423" s="15">
        <v>105</v>
      </c>
      <c r="K1423" s="163" t="s">
        <v>138</v>
      </c>
      <c r="L1423" s="15">
        <v>5</v>
      </c>
      <c r="M1423" s="188">
        <v>264.3</v>
      </c>
      <c r="N1423" s="169" t="s">
        <v>11</v>
      </c>
    </row>
    <row r="1424" spans="1:14" x14ac:dyDescent="0.25">
      <c r="A1424" s="63" t="s">
        <v>8</v>
      </c>
      <c r="B1424" s="71" t="s">
        <v>286</v>
      </c>
      <c r="C1424" s="2">
        <v>4058075539778</v>
      </c>
      <c r="D1424" s="84"/>
      <c r="E1424" s="85"/>
      <c r="F1424" s="17"/>
      <c r="G1424" s="156" t="str">
        <f>HYPERLINK("https://ledvance.com/pt/product-datasheet/8927/79356","Ficha Técnica")</f>
        <v>Ficha Técnica</v>
      </c>
      <c r="H1424" s="15">
        <v>1</v>
      </c>
      <c r="I1424" s="163">
        <v>18400</v>
      </c>
      <c r="J1424" s="15">
        <v>145</v>
      </c>
      <c r="K1424" s="163" t="s">
        <v>138</v>
      </c>
      <c r="L1424" s="15">
        <v>5</v>
      </c>
      <c r="M1424" s="188">
        <v>306.10000000000002</v>
      </c>
      <c r="N1424" s="169" t="s">
        <v>11</v>
      </c>
    </row>
    <row r="1425" spans="1:14" x14ac:dyDescent="0.25">
      <c r="A1425" s="63" t="s">
        <v>8</v>
      </c>
      <c r="B1425" s="71" t="s">
        <v>287</v>
      </c>
      <c r="C1425" s="2">
        <v>4058075539785</v>
      </c>
      <c r="D1425" s="84"/>
      <c r="E1425" s="85"/>
      <c r="F1425" s="17"/>
      <c r="G1425" s="156" t="str">
        <f>HYPERLINK("https://ledvance.com/pt/product-datasheet/8927/138550","Ficha Técnica")</f>
        <v>Ficha Técnica</v>
      </c>
      <c r="H1425" s="15">
        <v>1</v>
      </c>
      <c r="I1425" s="163">
        <v>20000</v>
      </c>
      <c r="J1425" s="15">
        <v>145</v>
      </c>
      <c r="K1425" s="163" t="s">
        <v>138</v>
      </c>
      <c r="L1425" s="15">
        <v>5</v>
      </c>
      <c r="M1425" s="188">
        <v>306.10000000000002</v>
      </c>
      <c r="N1425" s="169" t="s">
        <v>11</v>
      </c>
    </row>
    <row r="1426" spans="1:14" x14ac:dyDescent="0.25">
      <c r="A1426" s="66" t="s">
        <v>8</v>
      </c>
      <c r="B1426" s="69" t="s">
        <v>2157</v>
      </c>
      <c r="C1426" s="51"/>
      <c r="D1426" s="65"/>
      <c r="E1426" s="86"/>
      <c r="F1426" s="12"/>
      <c r="G1426" s="157"/>
      <c r="H1426" s="12"/>
      <c r="I1426" s="62"/>
      <c r="J1426" s="27"/>
      <c r="K1426" s="62"/>
      <c r="L1426" s="12"/>
      <c r="M1426" s="191"/>
      <c r="N1426" s="65"/>
    </row>
    <row r="1427" spans="1:14" x14ac:dyDescent="0.25">
      <c r="A1427" s="63" t="s">
        <v>8</v>
      </c>
      <c r="B1427" s="71" t="s">
        <v>3279</v>
      </c>
      <c r="C1427" s="2">
        <v>4099854427428</v>
      </c>
      <c r="D1427" s="84"/>
      <c r="E1427" s="87"/>
      <c r="F1427" s="17"/>
      <c r="G1427" s="158"/>
      <c r="H1427" s="14"/>
      <c r="I1427" s="158"/>
      <c r="J1427" s="46"/>
      <c r="K1427" s="158"/>
      <c r="L1427" s="14"/>
      <c r="M1427" s="188" t="s">
        <v>2042</v>
      </c>
      <c r="N1427" s="169" t="s">
        <v>11</v>
      </c>
    </row>
    <row r="1428" spans="1:14" x14ac:dyDescent="0.25">
      <c r="A1428" s="63" t="s">
        <v>8</v>
      </c>
      <c r="B1428" s="71" t="s">
        <v>3280</v>
      </c>
      <c r="C1428" s="2">
        <v>4099854427459</v>
      </c>
      <c r="D1428" s="84"/>
      <c r="E1428" s="87"/>
      <c r="F1428" s="17"/>
      <c r="G1428" s="158"/>
      <c r="H1428" s="14"/>
      <c r="I1428" s="158"/>
      <c r="J1428" s="46"/>
      <c r="K1428" s="158"/>
      <c r="L1428" s="14"/>
      <c r="M1428" s="188" t="s">
        <v>2042</v>
      </c>
      <c r="N1428" s="169" t="s">
        <v>11</v>
      </c>
    </row>
    <row r="1429" spans="1:14" x14ac:dyDescent="0.25">
      <c r="A1429" s="63" t="s">
        <v>8</v>
      </c>
      <c r="B1429" s="71" t="s">
        <v>3281</v>
      </c>
      <c r="C1429" s="2">
        <v>4099854427527</v>
      </c>
      <c r="D1429" s="84"/>
      <c r="E1429" s="87"/>
      <c r="F1429" s="17"/>
      <c r="G1429" s="158"/>
      <c r="H1429" s="14"/>
      <c r="I1429" s="158"/>
      <c r="J1429" s="46"/>
      <c r="K1429" s="158"/>
      <c r="L1429" s="14"/>
      <c r="M1429" s="188" t="s">
        <v>2042</v>
      </c>
      <c r="N1429" s="169" t="s">
        <v>11</v>
      </c>
    </row>
    <row r="1430" spans="1:14" x14ac:dyDescent="0.25">
      <c r="A1430" s="63" t="s">
        <v>8</v>
      </c>
      <c r="B1430" s="71" t="s">
        <v>3282</v>
      </c>
      <c r="C1430" s="2">
        <v>4099854427558</v>
      </c>
      <c r="D1430" s="84"/>
      <c r="E1430" s="87"/>
      <c r="F1430" s="17"/>
      <c r="G1430" s="158"/>
      <c r="H1430" s="14"/>
      <c r="I1430" s="158"/>
      <c r="J1430" s="46"/>
      <c r="K1430" s="158"/>
      <c r="L1430" s="14"/>
      <c r="M1430" s="188" t="s">
        <v>2042</v>
      </c>
      <c r="N1430" s="169" t="s">
        <v>11</v>
      </c>
    </row>
    <row r="1431" spans="1:14" x14ac:dyDescent="0.25">
      <c r="A1431" s="63" t="s">
        <v>8</v>
      </c>
      <c r="B1431" s="71" t="s">
        <v>3283</v>
      </c>
      <c r="C1431" s="2">
        <v>4099854427145</v>
      </c>
      <c r="D1431" s="84"/>
      <c r="E1431" s="87"/>
      <c r="F1431" s="17"/>
      <c r="G1431" s="158"/>
      <c r="H1431" s="14"/>
      <c r="I1431" s="158"/>
      <c r="J1431" s="46"/>
      <c r="K1431" s="158"/>
      <c r="L1431" s="14"/>
      <c r="M1431" s="188" t="s">
        <v>2042</v>
      </c>
      <c r="N1431" s="169" t="s">
        <v>11</v>
      </c>
    </row>
    <row r="1432" spans="1:14" x14ac:dyDescent="0.25">
      <c r="A1432" s="63" t="s">
        <v>8</v>
      </c>
      <c r="B1432" s="71" t="s">
        <v>3284</v>
      </c>
      <c r="C1432" s="2">
        <v>4099854427169</v>
      </c>
      <c r="D1432" s="84"/>
      <c r="E1432" s="87"/>
      <c r="F1432" s="17"/>
      <c r="G1432" s="158"/>
      <c r="H1432" s="14"/>
      <c r="I1432" s="158"/>
      <c r="J1432" s="46"/>
      <c r="K1432" s="158"/>
      <c r="L1432" s="14"/>
      <c r="M1432" s="188" t="s">
        <v>2042</v>
      </c>
      <c r="N1432" s="169" t="s">
        <v>11</v>
      </c>
    </row>
    <row r="1433" spans="1:14" x14ac:dyDescent="0.25">
      <c r="A1433" s="63" t="s">
        <v>8</v>
      </c>
      <c r="B1433" s="71" t="s">
        <v>3285</v>
      </c>
      <c r="C1433" s="2">
        <v>4099854427183</v>
      </c>
      <c r="D1433" s="84"/>
      <c r="E1433" s="87"/>
      <c r="F1433" s="17"/>
      <c r="G1433" s="158"/>
      <c r="H1433" s="14"/>
      <c r="I1433" s="158"/>
      <c r="J1433" s="46"/>
      <c r="K1433" s="158"/>
      <c r="L1433" s="14"/>
      <c r="M1433" s="188" t="s">
        <v>2042</v>
      </c>
      <c r="N1433" s="169" t="s">
        <v>11</v>
      </c>
    </row>
    <row r="1434" spans="1:14" x14ac:dyDescent="0.25">
      <c r="A1434" s="63" t="s">
        <v>8</v>
      </c>
      <c r="B1434" s="71" t="s">
        <v>3286</v>
      </c>
      <c r="C1434" s="2">
        <v>4099854427206</v>
      </c>
      <c r="D1434" s="84"/>
      <c r="E1434" s="87"/>
      <c r="F1434" s="17"/>
      <c r="G1434" s="158"/>
      <c r="H1434" s="14"/>
      <c r="I1434" s="158"/>
      <c r="J1434" s="46"/>
      <c r="K1434" s="158"/>
      <c r="L1434" s="14"/>
      <c r="M1434" s="188" t="s">
        <v>2042</v>
      </c>
      <c r="N1434" s="169" t="s">
        <v>11</v>
      </c>
    </row>
    <row r="1435" spans="1:14" x14ac:dyDescent="0.25">
      <c r="A1435" s="63" t="s">
        <v>8</v>
      </c>
      <c r="B1435" s="71" t="s">
        <v>3287</v>
      </c>
      <c r="C1435" s="2">
        <v>4099854427220</v>
      </c>
      <c r="D1435" s="84"/>
      <c r="E1435" s="87"/>
      <c r="F1435" s="17"/>
      <c r="G1435" s="158"/>
      <c r="H1435" s="14"/>
      <c r="I1435" s="158"/>
      <c r="J1435" s="46"/>
      <c r="K1435" s="158"/>
      <c r="L1435" s="14"/>
      <c r="M1435" s="188" t="s">
        <v>2042</v>
      </c>
      <c r="N1435" s="169" t="s">
        <v>11</v>
      </c>
    </row>
    <row r="1436" spans="1:14" x14ac:dyDescent="0.25">
      <c r="A1436" s="63" t="s">
        <v>8</v>
      </c>
      <c r="B1436" s="71" t="s">
        <v>3288</v>
      </c>
      <c r="C1436" s="2">
        <v>4099854427305</v>
      </c>
      <c r="D1436" s="84"/>
      <c r="E1436" s="87"/>
      <c r="F1436" s="17"/>
      <c r="G1436" s="158"/>
      <c r="H1436" s="14"/>
      <c r="I1436" s="158"/>
      <c r="J1436" s="46"/>
      <c r="K1436" s="158"/>
      <c r="L1436" s="14"/>
      <c r="M1436" s="188" t="s">
        <v>2042</v>
      </c>
      <c r="N1436" s="169" t="s">
        <v>11</v>
      </c>
    </row>
    <row r="1437" spans="1:14" x14ac:dyDescent="0.25">
      <c r="A1437" s="63" t="s">
        <v>8</v>
      </c>
      <c r="B1437" s="71" t="s">
        <v>3289</v>
      </c>
      <c r="C1437" s="2">
        <v>4099854427336</v>
      </c>
      <c r="D1437" s="84"/>
      <c r="E1437" s="87"/>
      <c r="F1437" s="17"/>
      <c r="G1437" s="158"/>
      <c r="H1437" s="14"/>
      <c r="I1437" s="158"/>
      <c r="J1437" s="46"/>
      <c r="K1437" s="158"/>
      <c r="L1437" s="14"/>
      <c r="M1437" s="188" t="s">
        <v>2042</v>
      </c>
      <c r="N1437" s="169" t="s">
        <v>11</v>
      </c>
    </row>
    <row r="1438" spans="1:14" x14ac:dyDescent="0.25">
      <c r="A1438" s="63" t="s">
        <v>8</v>
      </c>
      <c r="B1438" s="71" t="s">
        <v>3290</v>
      </c>
      <c r="C1438" s="2">
        <v>4099854427381</v>
      </c>
      <c r="D1438" s="84"/>
      <c r="E1438" s="87"/>
      <c r="F1438" s="17"/>
      <c r="G1438" s="158"/>
      <c r="H1438" s="14"/>
      <c r="I1438" s="158"/>
      <c r="J1438" s="46"/>
      <c r="K1438" s="158"/>
      <c r="L1438" s="14"/>
      <c r="M1438" s="188" t="s">
        <v>2042</v>
      </c>
      <c r="N1438" s="169" t="s">
        <v>11</v>
      </c>
    </row>
    <row r="1439" spans="1:14" x14ac:dyDescent="0.25">
      <c r="A1439" s="66" t="s">
        <v>8</v>
      </c>
      <c r="B1439" s="69" t="s">
        <v>2138</v>
      </c>
      <c r="C1439" s="51"/>
      <c r="D1439" s="120"/>
      <c r="E1439" s="121"/>
      <c r="F1439" s="12"/>
      <c r="G1439" s="157"/>
      <c r="H1439" s="12"/>
      <c r="I1439" s="62"/>
      <c r="J1439" s="27"/>
      <c r="K1439" s="62"/>
      <c r="L1439" s="12"/>
      <c r="M1439" s="191"/>
      <c r="N1439" s="65"/>
    </row>
    <row r="1440" spans="1:14" x14ac:dyDescent="0.25">
      <c r="A1440" s="63" t="s">
        <v>8</v>
      </c>
      <c r="B1440" s="71" t="s">
        <v>3291</v>
      </c>
      <c r="C1440" s="2">
        <v>4058075580589</v>
      </c>
      <c r="D1440" s="84"/>
      <c r="E1440" s="85"/>
      <c r="F1440" s="17"/>
      <c r="G1440" s="156" t="str">
        <f>HYPERLINK("https://ledvance.com/pt/product-datasheet/164203/133980","Ficha Técnica")</f>
        <v>Ficha Técnica</v>
      </c>
      <c r="H1440" s="15">
        <v>1</v>
      </c>
      <c r="I1440" s="163">
        <v>78000</v>
      </c>
      <c r="J1440" s="15">
        <v>600</v>
      </c>
      <c r="K1440" s="163" t="s">
        <v>249</v>
      </c>
      <c r="L1440" s="15">
        <v>5</v>
      </c>
      <c r="M1440" s="188">
        <v>1290.2</v>
      </c>
      <c r="N1440" s="169" t="s">
        <v>11</v>
      </c>
    </row>
    <row r="1441" spans="1:14" x14ac:dyDescent="0.25">
      <c r="A1441" s="63" t="s">
        <v>8</v>
      </c>
      <c r="B1441" s="71" t="s">
        <v>3292</v>
      </c>
      <c r="C1441" s="2">
        <v>4058075580596</v>
      </c>
      <c r="D1441" s="84"/>
      <c r="E1441" s="85"/>
      <c r="F1441" s="17"/>
      <c r="G1441" s="156" t="str">
        <f>HYPERLINK("https://ledvance.com/pt/product-datasheet/164203/133982","Ficha Técnica")</f>
        <v>Ficha Técnica</v>
      </c>
      <c r="H1441" s="15">
        <v>1</v>
      </c>
      <c r="I1441" s="163">
        <v>81000</v>
      </c>
      <c r="J1441" s="15">
        <v>600</v>
      </c>
      <c r="K1441" s="163" t="s">
        <v>249</v>
      </c>
      <c r="L1441" s="15">
        <v>5</v>
      </c>
      <c r="M1441" s="188">
        <v>919.1</v>
      </c>
      <c r="N1441" s="169" t="s">
        <v>11</v>
      </c>
    </row>
    <row r="1442" spans="1:14" x14ac:dyDescent="0.25">
      <c r="A1442" s="63" t="s">
        <v>8</v>
      </c>
      <c r="B1442" s="71" t="s">
        <v>3293</v>
      </c>
      <c r="C1442" s="2">
        <v>4058075580602</v>
      </c>
      <c r="D1442" s="84"/>
      <c r="E1442" s="85"/>
      <c r="F1442" s="17"/>
      <c r="G1442" s="156" t="str">
        <f>HYPERLINK("https://ledvance.com/pt/product-datasheet/164203/133984","Ficha Técnica")</f>
        <v>Ficha Técnica</v>
      </c>
      <c r="H1442" s="15">
        <v>1</v>
      </c>
      <c r="I1442" s="163">
        <v>80500</v>
      </c>
      <c r="J1442" s="15">
        <v>600</v>
      </c>
      <c r="K1442" s="163" t="s">
        <v>249</v>
      </c>
      <c r="L1442" s="15">
        <v>5</v>
      </c>
      <c r="M1442" s="188">
        <v>919.1</v>
      </c>
      <c r="N1442" s="169" t="s">
        <v>11</v>
      </c>
    </row>
    <row r="1443" spans="1:14" x14ac:dyDescent="0.25">
      <c r="A1443" s="63" t="s">
        <v>8</v>
      </c>
      <c r="B1443" s="71" t="s">
        <v>3294</v>
      </c>
      <c r="C1443" s="2">
        <v>4058075580619</v>
      </c>
      <c r="D1443" s="84"/>
      <c r="E1443" s="85"/>
      <c r="F1443" s="17"/>
      <c r="G1443" s="156" t="str">
        <f>HYPERLINK("https://ledvance.com/pt/product-datasheet/164203/133986","Ficha Técnica")</f>
        <v>Ficha Técnica</v>
      </c>
      <c r="H1443" s="15">
        <v>1</v>
      </c>
      <c r="I1443" s="163">
        <v>82000</v>
      </c>
      <c r="J1443" s="15">
        <v>600</v>
      </c>
      <c r="K1443" s="163" t="s">
        <v>249</v>
      </c>
      <c r="L1443" s="15">
        <v>5</v>
      </c>
      <c r="M1443" s="188">
        <v>1276.0999999999999</v>
      </c>
      <c r="N1443" s="169" t="s">
        <v>11</v>
      </c>
    </row>
    <row r="1444" spans="1:14" x14ac:dyDescent="0.25">
      <c r="A1444" s="63" t="s">
        <v>8</v>
      </c>
      <c r="B1444" s="71" t="s">
        <v>3295</v>
      </c>
      <c r="C1444" s="2">
        <v>4058075580626</v>
      </c>
      <c r="D1444" s="84"/>
      <c r="E1444" s="85"/>
      <c r="F1444" s="17"/>
      <c r="G1444" s="156" t="str">
        <f>HYPERLINK("https://ledvance.com/pt/product-datasheet/164204/133988","Ficha Técnica")</f>
        <v>Ficha Técnica</v>
      </c>
      <c r="H1444" s="15">
        <v>1</v>
      </c>
      <c r="I1444" s="163">
        <v>117000</v>
      </c>
      <c r="J1444" s="15">
        <v>900</v>
      </c>
      <c r="K1444" s="163" t="s">
        <v>249</v>
      </c>
      <c r="L1444" s="15">
        <v>5</v>
      </c>
      <c r="M1444" s="188">
        <v>1616.7</v>
      </c>
      <c r="N1444" s="169" t="s">
        <v>11</v>
      </c>
    </row>
    <row r="1445" spans="1:14" x14ac:dyDescent="0.25">
      <c r="A1445" s="63" t="s">
        <v>8</v>
      </c>
      <c r="B1445" s="71" t="s">
        <v>3296</v>
      </c>
      <c r="C1445" s="2">
        <v>4058075580633</v>
      </c>
      <c r="D1445" s="84"/>
      <c r="E1445" s="85"/>
      <c r="F1445" s="17"/>
      <c r="G1445" s="156" t="str">
        <f>HYPERLINK("https://ledvance.com/pt/product-datasheet/164204/133990","Ficha Técnica")</f>
        <v>Ficha Técnica</v>
      </c>
      <c r="H1445" s="15">
        <v>1</v>
      </c>
      <c r="I1445" s="163">
        <v>121000</v>
      </c>
      <c r="J1445" s="15">
        <v>900</v>
      </c>
      <c r="K1445" s="163" t="s">
        <v>249</v>
      </c>
      <c r="L1445" s="15">
        <v>5</v>
      </c>
      <c r="M1445" s="188">
        <v>1380.2</v>
      </c>
      <c r="N1445" s="169" t="s">
        <v>11</v>
      </c>
    </row>
    <row r="1446" spans="1:14" x14ac:dyDescent="0.25">
      <c r="A1446" s="63" t="s">
        <v>8</v>
      </c>
      <c r="B1446" s="71" t="s">
        <v>3297</v>
      </c>
      <c r="C1446" s="2">
        <v>4058075580640</v>
      </c>
      <c r="D1446" s="84"/>
      <c r="E1446" s="85"/>
      <c r="F1446" s="17"/>
      <c r="G1446" s="156" t="str">
        <f>HYPERLINK("https://ledvance.com/pt/product-datasheet/164204/133992","Ficha Técnica")</f>
        <v>Ficha Técnica</v>
      </c>
      <c r="H1446" s="15">
        <v>1</v>
      </c>
      <c r="I1446" s="163">
        <v>120000</v>
      </c>
      <c r="J1446" s="15">
        <v>900</v>
      </c>
      <c r="K1446" s="163" t="s">
        <v>249</v>
      </c>
      <c r="L1446" s="15">
        <v>5</v>
      </c>
      <c r="M1446" s="188">
        <v>1380.2</v>
      </c>
      <c r="N1446" s="169" t="s">
        <v>11</v>
      </c>
    </row>
    <row r="1447" spans="1:14" x14ac:dyDescent="0.25">
      <c r="A1447" s="63" t="s">
        <v>8</v>
      </c>
      <c r="B1447" s="71" t="s">
        <v>3298</v>
      </c>
      <c r="C1447" s="2">
        <v>4058075580657</v>
      </c>
      <c r="D1447" s="84"/>
      <c r="E1447" s="85"/>
      <c r="F1447" s="17"/>
      <c r="G1447" s="156" t="str">
        <f>HYPERLINK("https://ledvance.com/pt/product-datasheet/164204/133994","Ficha Técnica")</f>
        <v>Ficha Técnica</v>
      </c>
      <c r="H1447" s="15">
        <v>1</v>
      </c>
      <c r="I1447" s="163">
        <v>123000</v>
      </c>
      <c r="J1447" s="15">
        <v>900</v>
      </c>
      <c r="K1447" s="163" t="s">
        <v>249</v>
      </c>
      <c r="L1447" s="15">
        <v>5</v>
      </c>
      <c r="M1447" s="188">
        <v>1616.7</v>
      </c>
      <c r="N1447" s="169" t="s">
        <v>11</v>
      </c>
    </row>
    <row r="1448" spans="1:14" x14ac:dyDescent="0.25">
      <c r="A1448" s="63" t="s">
        <v>8</v>
      </c>
      <c r="B1448" s="71" t="s">
        <v>3299</v>
      </c>
      <c r="C1448" s="2">
        <v>4058075580664</v>
      </c>
      <c r="D1448" s="84"/>
      <c r="E1448" s="85"/>
      <c r="F1448" s="17"/>
      <c r="G1448" s="156" t="str">
        <f>HYPERLINK("https://ledvance.com/pt/product-datasheet/164205/133996","Ficha Técnica")</f>
        <v>Ficha Técnica</v>
      </c>
      <c r="H1448" s="15">
        <v>1</v>
      </c>
      <c r="I1448" s="163">
        <v>155000</v>
      </c>
      <c r="J1448" s="15">
        <v>1200</v>
      </c>
      <c r="K1448" s="163" t="s">
        <v>249</v>
      </c>
      <c r="L1448" s="15">
        <v>5</v>
      </c>
      <c r="M1448" s="188">
        <v>2101.1</v>
      </c>
      <c r="N1448" s="169" t="s">
        <v>11</v>
      </c>
    </row>
    <row r="1449" spans="1:14" x14ac:dyDescent="0.25">
      <c r="A1449" s="63" t="s">
        <v>8</v>
      </c>
      <c r="B1449" s="71" t="s">
        <v>3300</v>
      </c>
      <c r="C1449" s="2">
        <v>4058075580671</v>
      </c>
      <c r="D1449" s="84"/>
      <c r="E1449" s="85"/>
      <c r="F1449" s="17"/>
      <c r="G1449" s="156" t="str">
        <f>HYPERLINK("https://ledvance.com/pt/product-datasheet/164205/133998","Ficha Técnica")</f>
        <v>Ficha Técnica</v>
      </c>
      <c r="H1449" s="15">
        <v>1</v>
      </c>
      <c r="I1449" s="163">
        <v>162000</v>
      </c>
      <c r="J1449" s="15">
        <v>1200</v>
      </c>
      <c r="K1449" s="163" t="s">
        <v>249</v>
      </c>
      <c r="L1449" s="15">
        <v>5</v>
      </c>
      <c r="M1449" s="188">
        <v>1787.6</v>
      </c>
      <c r="N1449" s="169" t="s">
        <v>11</v>
      </c>
    </row>
    <row r="1450" spans="1:14" x14ac:dyDescent="0.25">
      <c r="A1450" s="63" t="s">
        <v>8</v>
      </c>
      <c r="B1450" s="71" t="s">
        <v>3301</v>
      </c>
      <c r="C1450" s="2">
        <v>4058075580688</v>
      </c>
      <c r="D1450" s="84"/>
      <c r="E1450" s="85"/>
      <c r="F1450" s="17"/>
      <c r="G1450" s="156" t="str">
        <f>HYPERLINK("https://ledvance.com/pt/product-datasheet/164205/134000","Ficha Técnica")</f>
        <v>Ficha Técnica</v>
      </c>
      <c r="H1450" s="15">
        <v>1</v>
      </c>
      <c r="I1450" s="163">
        <v>161000</v>
      </c>
      <c r="J1450" s="15">
        <v>1200</v>
      </c>
      <c r="K1450" s="163" t="s">
        <v>249</v>
      </c>
      <c r="L1450" s="15">
        <v>5</v>
      </c>
      <c r="M1450" s="188">
        <v>1787.6</v>
      </c>
      <c r="N1450" s="169" t="s">
        <v>11</v>
      </c>
    </row>
    <row r="1451" spans="1:14" x14ac:dyDescent="0.25">
      <c r="A1451" s="63" t="s">
        <v>8</v>
      </c>
      <c r="B1451" s="71" t="s">
        <v>3302</v>
      </c>
      <c r="C1451" s="2">
        <v>4058075580695</v>
      </c>
      <c r="D1451" s="84"/>
      <c r="E1451" s="85"/>
      <c r="F1451" s="17"/>
      <c r="G1451" s="156" t="str">
        <f>HYPERLINK("https://ledvance.com/pt/product-datasheet/164205/134002","Ficha Técnica")</f>
        <v>Ficha Técnica</v>
      </c>
      <c r="H1451" s="15">
        <v>1</v>
      </c>
      <c r="I1451" s="163">
        <v>164000</v>
      </c>
      <c r="J1451" s="15">
        <v>1200</v>
      </c>
      <c r="K1451" s="163" t="s">
        <v>249</v>
      </c>
      <c r="L1451" s="15">
        <v>5</v>
      </c>
      <c r="M1451" s="188">
        <v>2101.1</v>
      </c>
      <c r="N1451" s="169" t="s">
        <v>11</v>
      </c>
    </row>
    <row r="1452" spans="1:14" x14ac:dyDescent="0.25">
      <c r="A1452" s="66" t="s">
        <v>8</v>
      </c>
      <c r="B1452" s="69" t="s">
        <v>2174</v>
      </c>
      <c r="C1452" s="51"/>
      <c r="D1452" s="120"/>
      <c r="E1452" s="121"/>
      <c r="F1452" s="12"/>
      <c r="G1452" s="157"/>
      <c r="H1452" s="12"/>
      <c r="I1452" s="62"/>
      <c r="J1452" s="27"/>
      <c r="K1452" s="62"/>
      <c r="L1452" s="12"/>
      <c r="M1452" s="191"/>
      <c r="N1452" s="65"/>
    </row>
    <row r="1453" spans="1:14" x14ac:dyDescent="0.25">
      <c r="A1453" s="63" t="s">
        <v>8</v>
      </c>
      <c r="B1453" s="71" t="s">
        <v>3303</v>
      </c>
      <c r="C1453" s="2">
        <v>4058075580718</v>
      </c>
      <c r="D1453" s="84"/>
      <c r="E1453" s="85"/>
      <c r="F1453" s="17"/>
      <c r="G1453" s="156" t="str">
        <f>HYPERLINK("https://ledvance.com/pt/product-datasheet/164206/134004","Ficha Técnica")</f>
        <v>Ficha Técnica</v>
      </c>
      <c r="H1453" s="15">
        <v>2</v>
      </c>
      <c r="I1453" s="163"/>
      <c r="J1453" s="15">
        <v>600</v>
      </c>
      <c r="K1453" s="163" t="s">
        <v>288</v>
      </c>
      <c r="L1453" s="15">
        <v>5</v>
      </c>
      <c r="M1453" s="188">
        <v>832.3</v>
      </c>
      <c r="N1453" s="169" t="s">
        <v>11</v>
      </c>
    </row>
    <row r="1454" spans="1:14" x14ac:dyDescent="0.25">
      <c r="A1454" s="63" t="s">
        <v>8</v>
      </c>
      <c r="B1454" s="71" t="s">
        <v>3304</v>
      </c>
      <c r="C1454" s="2">
        <v>4058075580732</v>
      </c>
      <c r="D1454" s="84"/>
      <c r="E1454" s="85"/>
      <c r="F1454" s="17"/>
      <c r="G1454" s="156" t="str">
        <f>HYPERLINK("https://ledvance.com/pt/product-datasheet/164206/134007","Ficha Técnica")</f>
        <v>Ficha Técnica</v>
      </c>
      <c r="H1454" s="15">
        <v>1</v>
      </c>
      <c r="I1454" s="163"/>
      <c r="J1454" s="15">
        <v>900</v>
      </c>
      <c r="K1454" s="163" t="s">
        <v>288</v>
      </c>
      <c r="L1454" s="15">
        <v>5</v>
      </c>
      <c r="M1454" s="188">
        <v>1059.9000000000001</v>
      </c>
      <c r="N1454" s="169" t="s">
        <v>11</v>
      </c>
    </row>
    <row r="1455" spans="1:14" x14ac:dyDescent="0.25">
      <c r="A1455" s="63" t="s">
        <v>8</v>
      </c>
      <c r="B1455" s="71" t="s">
        <v>3305</v>
      </c>
      <c r="C1455" s="2">
        <v>4058075580749</v>
      </c>
      <c r="D1455" s="84"/>
      <c r="E1455" s="85"/>
      <c r="F1455" s="17"/>
      <c r="G1455" s="156" t="str">
        <f>HYPERLINK("https://ledvance.com/pt/product-datasheet/164206/134009","Ficha Técnica")</f>
        <v>Ficha Técnica</v>
      </c>
      <c r="H1455" s="15">
        <v>1</v>
      </c>
      <c r="I1455" s="163"/>
      <c r="J1455" s="15">
        <v>1200</v>
      </c>
      <c r="K1455" s="163" t="s">
        <v>288</v>
      </c>
      <c r="L1455" s="15">
        <v>5</v>
      </c>
      <c r="M1455" s="188">
        <v>1466</v>
      </c>
      <c r="N1455" s="169" t="s">
        <v>11</v>
      </c>
    </row>
    <row r="1456" spans="1:14" x14ac:dyDescent="0.25">
      <c r="A1456" s="66" t="s">
        <v>8</v>
      </c>
      <c r="B1456" s="69" t="s">
        <v>2128</v>
      </c>
      <c r="C1456" s="52"/>
      <c r="D1456" s="122"/>
      <c r="E1456" s="123"/>
      <c r="F1456" s="12"/>
      <c r="G1456" s="157"/>
      <c r="H1456" s="12"/>
      <c r="I1456" s="62"/>
      <c r="J1456" s="27"/>
      <c r="K1456" s="62"/>
      <c r="L1456" s="12"/>
      <c r="M1456" s="191"/>
      <c r="N1456" s="65"/>
    </row>
    <row r="1457" spans="1:14" x14ac:dyDescent="0.25">
      <c r="A1457" s="63" t="s">
        <v>8</v>
      </c>
      <c r="B1457" s="71" t="s">
        <v>3306</v>
      </c>
      <c r="C1457" s="2">
        <v>4058075372443</v>
      </c>
      <c r="D1457" s="84"/>
      <c r="E1457" s="85"/>
      <c r="F1457" s="17"/>
      <c r="G1457" s="156" t="str">
        <f>HYPERLINK("https://ledvance.com/pt/product-datasheet/8950/125080","Ficha Técnica")</f>
        <v>Ficha Técnica</v>
      </c>
      <c r="H1457" s="15">
        <v>1</v>
      </c>
      <c r="I1457" s="163">
        <v>36600</v>
      </c>
      <c r="J1457" s="15">
        <v>300</v>
      </c>
      <c r="K1457" s="163" t="s">
        <v>138</v>
      </c>
      <c r="L1457" s="15">
        <v>5</v>
      </c>
      <c r="M1457" s="188">
        <v>726.8</v>
      </c>
      <c r="N1457" s="169" t="s">
        <v>11</v>
      </c>
    </row>
    <row r="1458" spans="1:14" x14ac:dyDescent="0.25">
      <c r="A1458" s="63" t="s">
        <v>8</v>
      </c>
      <c r="B1458" s="71" t="s">
        <v>3307</v>
      </c>
      <c r="C1458" s="2">
        <v>4058075372450</v>
      </c>
      <c r="D1458" s="84"/>
      <c r="E1458" s="85"/>
      <c r="F1458" s="17"/>
      <c r="G1458" s="156" t="str">
        <f>HYPERLINK("https://ledvance.com/pt/product-datasheet/8950/125082","Ficha Técnica")</f>
        <v>Ficha Técnica</v>
      </c>
      <c r="H1458" s="15">
        <v>1</v>
      </c>
      <c r="I1458" s="163">
        <v>41100</v>
      </c>
      <c r="J1458" s="15">
        <v>300</v>
      </c>
      <c r="K1458" s="163" t="s">
        <v>138</v>
      </c>
      <c r="L1458" s="15">
        <v>5</v>
      </c>
      <c r="M1458" s="188">
        <v>726.8</v>
      </c>
      <c r="N1458" s="169" t="s">
        <v>11</v>
      </c>
    </row>
    <row r="1459" spans="1:14" x14ac:dyDescent="0.25">
      <c r="A1459" s="63" t="s">
        <v>8</v>
      </c>
      <c r="B1459" s="71" t="s">
        <v>3308</v>
      </c>
      <c r="C1459" s="2">
        <v>4058075372467</v>
      </c>
      <c r="D1459" s="84"/>
      <c r="E1459" s="85"/>
      <c r="F1459" s="17"/>
      <c r="G1459" s="156" t="str">
        <f>HYPERLINK("https://ledvance.com/pt/product-datasheet/8950/99418","Ficha Técnica")</f>
        <v>Ficha Técnica</v>
      </c>
      <c r="H1459" s="15">
        <v>1</v>
      </c>
      <c r="I1459" s="163">
        <v>40500</v>
      </c>
      <c r="J1459" s="15">
        <v>300</v>
      </c>
      <c r="K1459" s="163" t="s">
        <v>138</v>
      </c>
      <c r="L1459" s="15">
        <v>5</v>
      </c>
      <c r="M1459" s="188">
        <v>726.8</v>
      </c>
      <c r="N1459" s="169" t="s">
        <v>11</v>
      </c>
    </row>
    <row r="1460" spans="1:14" x14ac:dyDescent="0.25">
      <c r="A1460" s="63" t="s">
        <v>8</v>
      </c>
      <c r="B1460" s="71" t="s">
        <v>3309</v>
      </c>
      <c r="C1460" s="2">
        <v>4058075372474</v>
      </c>
      <c r="D1460" s="84"/>
      <c r="E1460" s="85"/>
      <c r="F1460" s="17"/>
      <c r="G1460" s="156" t="str">
        <f>HYPERLINK("https://ledvance.com/pt/product-datasheet/8950/125695","Ficha Técnica")</f>
        <v>Ficha Técnica</v>
      </c>
      <c r="H1460" s="15">
        <v>1</v>
      </c>
      <c r="I1460" s="163">
        <v>36600</v>
      </c>
      <c r="J1460" s="15">
        <v>300</v>
      </c>
      <c r="K1460" s="163" t="s">
        <v>138</v>
      </c>
      <c r="L1460" s="15">
        <v>5</v>
      </c>
      <c r="M1460" s="188">
        <v>726.8</v>
      </c>
      <c r="N1460" s="169" t="s">
        <v>11</v>
      </c>
    </row>
    <row r="1461" spans="1:14" x14ac:dyDescent="0.25">
      <c r="A1461" s="63" t="s">
        <v>8</v>
      </c>
      <c r="B1461" s="71" t="s">
        <v>3310</v>
      </c>
      <c r="C1461" s="2">
        <v>4058075372481</v>
      </c>
      <c r="D1461" s="84"/>
      <c r="E1461" s="85"/>
      <c r="F1461" s="17"/>
      <c r="G1461" s="156" t="str">
        <f>HYPERLINK("https://ledvance.com/pt/product-datasheet/8950/124489","Ficha Técnica")</f>
        <v>Ficha Técnica</v>
      </c>
      <c r="H1461" s="15">
        <v>1</v>
      </c>
      <c r="I1461" s="163">
        <v>41100</v>
      </c>
      <c r="J1461" s="15">
        <v>300</v>
      </c>
      <c r="K1461" s="163" t="s">
        <v>138</v>
      </c>
      <c r="L1461" s="15">
        <v>5</v>
      </c>
      <c r="M1461" s="188">
        <v>726.8</v>
      </c>
      <c r="N1461" s="169" t="s">
        <v>11</v>
      </c>
    </row>
    <row r="1462" spans="1:14" x14ac:dyDescent="0.25">
      <c r="A1462" s="63" t="s">
        <v>8</v>
      </c>
      <c r="B1462" s="71" t="s">
        <v>3311</v>
      </c>
      <c r="C1462" s="2">
        <v>4058075372498</v>
      </c>
      <c r="D1462" s="84"/>
      <c r="E1462" s="85"/>
      <c r="F1462" s="17"/>
      <c r="G1462" s="156" t="str">
        <f>HYPERLINK("https://ledvance.com/pt/product-datasheet/8950/125697","Ficha Técnica")</f>
        <v>Ficha Técnica</v>
      </c>
      <c r="H1462" s="15">
        <v>1</v>
      </c>
      <c r="I1462" s="163">
        <v>40500</v>
      </c>
      <c r="J1462" s="15">
        <v>300</v>
      </c>
      <c r="K1462" s="163" t="s">
        <v>138</v>
      </c>
      <c r="L1462" s="15">
        <v>5</v>
      </c>
      <c r="M1462" s="188">
        <v>726.8</v>
      </c>
      <c r="N1462" s="169" t="s">
        <v>11</v>
      </c>
    </row>
    <row r="1463" spans="1:14" x14ac:dyDescent="0.25">
      <c r="A1463" s="63" t="s">
        <v>8</v>
      </c>
      <c r="B1463" s="71" t="s">
        <v>3312</v>
      </c>
      <c r="C1463" s="2">
        <v>4058075372528</v>
      </c>
      <c r="D1463" s="84"/>
      <c r="E1463" s="85"/>
      <c r="F1463" s="17"/>
      <c r="G1463" s="156" t="str">
        <f>HYPERLINK("https://ledvance.com/pt/product-datasheet/8950/125699","Ficha Técnica")</f>
        <v>Ficha Técnica</v>
      </c>
      <c r="H1463" s="15">
        <v>1</v>
      </c>
      <c r="I1463" s="163">
        <v>61000</v>
      </c>
      <c r="J1463" s="15">
        <v>500</v>
      </c>
      <c r="K1463" s="163" t="s">
        <v>138</v>
      </c>
      <c r="L1463" s="15">
        <v>5</v>
      </c>
      <c r="M1463" s="188">
        <v>952.9</v>
      </c>
      <c r="N1463" s="169" t="s">
        <v>11</v>
      </c>
    </row>
    <row r="1464" spans="1:14" x14ac:dyDescent="0.25">
      <c r="A1464" s="63" t="s">
        <v>8</v>
      </c>
      <c r="B1464" s="71" t="s">
        <v>3313</v>
      </c>
      <c r="C1464" s="2">
        <v>4058075372559</v>
      </c>
      <c r="D1464" s="84"/>
      <c r="E1464" s="85"/>
      <c r="F1464" s="17"/>
      <c r="G1464" s="156" t="str">
        <f>HYPERLINK("https://ledvance.com/pt/product-datasheet/8950/125701","Ficha Técnica")</f>
        <v>Ficha Técnica</v>
      </c>
      <c r="H1464" s="15">
        <v>1</v>
      </c>
      <c r="I1464" s="163">
        <v>68500</v>
      </c>
      <c r="J1464" s="15">
        <v>500</v>
      </c>
      <c r="K1464" s="163" t="s">
        <v>138</v>
      </c>
      <c r="L1464" s="15">
        <v>5</v>
      </c>
      <c r="M1464" s="188">
        <v>952.9</v>
      </c>
      <c r="N1464" s="169" t="s">
        <v>11</v>
      </c>
    </row>
    <row r="1465" spans="1:14" x14ac:dyDescent="0.25">
      <c r="A1465" s="63" t="s">
        <v>8</v>
      </c>
      <c r="B1465" s="71" t="s">
        <v>3314</v>
      </c>
      <c r="C1465" s="2">
        <v>4058075372580</v>
      </c>
      <c r="D1465" s="84"/>
      <c r="E1465" s="85"/>
      <c r="F1465" s="17"/>
      <c r="G1465" s="156" t="str">
        <f>HYPERLINK("https://ledvance.com/pt/product-datasheet/8950/99420","Ficha Técnica")</f>
        <v>Ficha Técnica</v>
      </c>
      <c r="H1465" s="15">
        <v>1</v>
      </c>
      <c r="I1465" s="163">
        <v>67500</v>
      </c>
      <c r="J1465" s="15">
        <v>500</v>
      </c>
      <c r="K1465" s="163" t="s">
        <v>138</v>
      </c>
      <c r="L1465" s="15">
        <v>5</v>
      </c>
      <c r="M1465" s="188">
        <v>952.9</v>
      </c>
      <c r="N1465" s="169" t="s">
        <v>11</v>
      </c>
    </row>
    <row r="1466" spans="1:14" x14ac:dyDescent="0.25">
      <c r="A1466" s="63" t="s">
        <v>8</v>
      </c>
      <c r="B1466" s="71" t="s">
        <v>3315</v>
      </c>
      <c r="C1466" s="2">
        <v>4058075372610</v>
      </c>
      <c r="D1466" s="84"/>
      <c r="E1466" s="85"/>
      <c r="F1466" s="17"/>
      <c r="G1466" s="156" t="str">
        <f>HYPERLINK("https://ledvance.com/pt/product-datasheet/8950/125703","Ficha Técnica")</f>
        <v>Ficha Técnica</v>
      </c>
      <c r="H1466" s="15">
        <v>1</v>
      </c>
      <c r="I1466" s="163">
        <v>61000</v>
      </c>
      <c r="J1466" s="15">
        <v>500</v>
      </c>
      <c r="K1466" s="163" t="s">
        <v>138</v>
      </c>
      <c r="L1466" s="15">
        <v>5</v>
      </c>
      <c r="M1466" s="188">
        <v>952.9</v>
      </c>
      <c r="N1466" s="169" t="s">
        <v>11</v>
      </c>
    </row>
    <row r="1467" spans="1:14" x14ac:dyDescent="0.25">
      <c r="A1467" s="63" t="s">
        <v>8</v>
      </c>
      <c r="B1467" s="71" t="s">
        <v>3316</v>
      </c>
      <c r="C1467" s="2">
        <v>4058075372627</v>
      </c>
      <c r="D1467" s="84"/>
      <c r="E1467" s="85"/>
      <c r="F1467" s="17"/>
      <c r="G1467" s="156" t="str">
        <f>HYPERLINK("https://ledvance.com/pt/product-datasheet/8950/125705","Ficha Técnica")</f>
        <v>Ficha Técnica</v>
      </c>
      <c r="H1467" s="15">
        <v>1</v>
      </c>
      <c r="I1467" s="163">
        <v>68500</v>
      </c>
      <c r="J1467" s="15">
        <v>500</v>
      </c>
      <c r="K1467" s="163" t="s">
        <v>138</v>
      </c>
      <c r="L1467" s="15">
        <v>5</v>
      </c>
      <c r="M1467" s="188">
        <v>952.9</v>
      </c>
      <c r="N1467" s="169" t="s">
        <v>11</v>
      </c>
    </row>
    <row r="1468" spans="1:14" x14ac:dyDescent="0.25">
      <c r="A1468" s="63" t="s">
        <v>8</v>
      </c>
      <c r="B1468" s="71" t="s">
        <v>3317</v>
      </c>
      <c r="C1468" s="2">
        <v>4058075372658</v>
      </c>
      <c r="D1468" s="84"/>
      <c r="E1468" s="85"/>
      <c r="F1468" s="17"/>
      <c r="G1468" s="156" t="str">
        <f>HYPERLINK("https://ledvance.com/pt/product-datasheet/8950/125707","Ficha Técnica")</f>
        <v>Ficha Técnica</v>
      </c>
      <c r="H1468" s="15">
        <v>1</v>
      </c>
      <c r="I1468" s="163">
        <v>67500</v>
      </c>
      <c r="J1468" s="15">
        <v>500</v>
      </c>
      <c r="K1468" s="163" t="s">
        <v>138</v>
      </c>
      <c r="L1468" s="15">
        <v>5</v>
      </c>
      <c r="M1468" s="188">
        <v>952.9</v>
      </c>
      <c r="N1468" s="169" t="s">
        <v>11</v>
      </c>
    </row>
    <row r="1469" spans="1:14" x14ac:dyDescent="0.25">
      <c r="A1469" s="66" t="s">
        <v>8</v>
      </c>
      <c r="B1469" s="69" t="s">
        <v>1246</v>
      </c>
      <c r="C1469" s="51"/>
      <c r="D1469" s="65"/>
      <c r="E1469" s="92"/>
      <c r="F1469" s="12"/>
      <c r="G1469" s="157"/>
      <c r="H1469" s="12"/>
      <c r="I1469" s="62"/>
      <c r="J1469" s="27"/>
      <c r="K1469" s="62"/>
      <c r="L1469" s="12"/>
      <c r="M1469" s="191"/>
      <c r="N1469" s="65"/>
    </row>
    <row r="1470" spans="1:14" x14ac:dyDescent="0.25">
      <c r="A1470" s="63" t="s">
        <v>8</v>
      </c>
      <c r="B1470" s="71" t="s">
        <v>3318</v>
      </c>
      <c r="C1470" s="2">
        <v>4099854195655</v>
      </c>
      <c r="D1470" s="84"/>
      <c r="E1470" s="85"/>
      <c r="G1470" s="156" t="str">
        <f>HYPERLINK("https://ledvance.com/pt/product-datasheet/301033/274894","Ficha Técnica")</f>
        <v>Ficha Técnica</v>
      </c>
      <c r="H1470" s="15">
        <v>1</v>
      </c>
      <c r="I1470" s="163">
        <v>33600</v>
      </c>
      <c r="J1470" s="15">
        <v>300</v>
      </c>
      <c r="K1470" s="163" t="s">
        <v>249</v>
      </c>
      <c r="L1470" s="15">
        <v>5</v>
      </c>
      <c r="M1470" s="188">
        <v>604.4</v>
      </c>
      <c r="N1470" s="169" t="s">
        <v>11</v>
      </c>
    </row>
    <row r="1471" spans="1:14" x14ac:dyDescent="0.25">
      <c r="A1471" s="63" t="s">
        <v>8</v>
      </c>
      <c r="B1471" s="71" t="s">
        <v>3319</v>
      </c>
      <c r="C1471" s="2">
        <v>4099854195662</v>
      </c>
      <c r="D1471" s="84"/>
      <c r="E1471" s="85"/>
      <c r="G1471" s="156" t="str">
        <f>HYPERLINK("https://ledvance.com/pt/product-datasheet/301033/274896","Ficha Técnica")</f>
        <v>Ficha Técnica</v>
      </c>
      <c r="H1471" s="15">
        <v>1</v>
      </c>
      <c r="I1471" s="163">
        <v>36000</v>
      </c>
      <c r="J1471" s="15">
        <v>300</v>
      </c>
      <c r="K1471" s="163" t="s">
        <v>249</v>
      </c>
      <c r="L1471" s="15">
        <v>5</v>
      </c>
      <c r="M1471" s="188">
        <v>604.4</v>
      </c>
      <c r="N1471" s="169" t="s">
        <v>11</v>
      </c>
    </row>
    <row r="1472" spans="1:14" x14ac:dyDescent="0.25">
      <c r="A1472" s="63" t="s">
        <v>8</v>
      </c>
      <c r="B1472" s="71" t="s">
        <v>3320</v>
      </c>
      <c r="C1472" s="2">
        <v>4099854195679</v>
      </c>
      <c r="D1472" s="84"/>
      <c r="E1472" s="85"/>
      <c r="G1472" s="156" t="str">
        <f>HYPERLINK("https://ledvance.com/pt/product-datasheet/301033/274898","Ficha Técnica")</f>
        <v>Ficha Técnica</v>
      </c>
      <c r="H1472" s="15">
        <v>1</v>
      </c>
      <c r="I1472" s="163">
        <v>36000</v>
      </c>
      <c r="J1472" s="15">
        <v>300</v>
      </c>
      <c r="K1472" s="163" t="s">
        <v>249</v>
      </c>
      <c r="L1472" s="15">
        <v>5</v>
      </c>
      <c r="M1472" s="188">
        <v>604.4</v>
      </c>
      <c r="N1472" s="169" t="s">
        <v>11</v>
      </c>
    </row>
    <row r="1473" spans="1:14" x14ac:dyDescent="0.25">
      <c r="A1473" s="63" t="s">
        <v>8</v>
      </c>
      <c r="B1473" s="71" t="s">
        <v>3321</v>
      </c>
      <c r="C1473" s="2">
        <v>4099854195778</v>
      </c>
      <c r="D1473" s="84"/>
      <c r="E1473" s="85"/>
      <c r="G1473" s="156" t="str">
        <f>HYPERLINK("https://ledvance.com/pt/product-datasheet/301033/274900","Ficha Técnica")</f>
        <v>Ficha Técnica</v>
      </c>
      <c r="H1473" s="15">
        <v>1</v>
      </c>
      <c r="I1473" s="163">
        <v>39600</v>
      </c>
      <c r="J1473" s="15">
        <v>300</v>
      </c>
      <c r="K1473" s="163" t="s">
        <v>249</v>
      </c>
      <c r="L1473" s="15">
        <v>5</v>
      </c>
      <c r="M1473" s="188">
        <v>528</v>
      </c>
      <c r="N1473" s="169" t="s">
        <v>11</v>
      </c>
    </row>
    <row r="1474" spans="1:14" x14ac:dyDescent="0.25">
      <c r="A1474" s="63" t="s">
        <v>8</v>
      </c>
      <c r="B1474" s="71" t="s">
        <v>3322</v>
      </c>
      <c r="C1474" s="2">
        <v>4099854195815</v>
      </c>
      <c r="D1474" s="84"/>
      <c r="E1474" s="85"/>
      <c r="G1474" s="156" t="str">
        <f>HYPERLINK("https://ledvance.com/pt/product-datasheet/301033/274902","Ficha Técnica")</f>
        <v>Ficha Técnica</v>
      </c>
      <c r="H1474" s="15">
        <v>1</v>
      </c>
      <c r="I1474" s="163">
        <v>42000</v>
      </c>
      <c r="J1474" s="15">
        <v>300</v>
      </c>
      <c r="K1474" s="163" t="s">
        <v>249</v>
      </c>
      <c r="L1474" s="15">
        <v>5</v>
      </c>
      <c r="M1474" s="188">
        <v>528</v>
      </c>
      <c r="N1474" s="169" t="s">
        <v>11</v>
      </c>
    </row>
    <row r="1475" spans="1:14" x14ac:dyDescent="0.25">
      <c r="A1475" s="63" t="s">
        <v>8</v>
      </c>
      <c r="B1475" s="71" t="s">
        <v>3323</v>
      </c>
      <c r="C1475" s="2">
        <v>4099854195846</v>
      </c>
      <c r="D1475" s="84"/>
      <c r="E1475" s="85"/>
      <c r="G1475" s="156" t="str">
        <f>HYPERLINK("https://ledvance.com/pt/product-datasheet/301033/274904","Ficha Técnica")</f>
        <v>Ficha Técnica</v>
      </c>
      <c r="H1475" s="15">
        <v>1</v>
      </c>
      <c r="I1475" s="163">
        <v>42000</v>
      </c>
      <c r="J1475" s="15">
        <v>300</v>
      </c>
      <c r="K1475" s="163" t="s">
        <v>249</v>
      </c>
      <c r="L1475" s="15">
        <v>5</v>
      </c>
      <c r="M1475" s="188">
        <v>528</v>
      </c>
      <c r="N1475" s="169" t="s">
        <v>11</v>
      </c>
    </row>
    <row r="1476" spans="1:14" x14ac:dyDescent="0.25">
      <c r="A1476" s="63" t="s">
        <v>8</v>
      </c>
      <c r="B1476" s="71" t="s">
        <v>3324</v>
      </c>
      <c r="C1476" s="2">
        <v>4099854195891</v>
      </c>
      <c r="D1476" s="84"/>
      <c r="E1476" s="85"/>
      <c r="G1476" s="156" t="str">
        <f>HYPERLINK("https://ledvance.com/pt/product-datasheet/301033/274906","Ficha Técnica")</f>
        <v>Ficha Técnica</v>
      </c>
      <c r="H1476" s="15">
        <v>1</v>
      </c>
      <c r="I1476" s="163">
        <v>39600</v>
      </c>
      <c r="J1476" s="15">
        <v>300</v>
      </c>
      <c r="K1476" s="163" t="s">
        <v>249</v>
      </c>
      <c r="L1476" s="15">
        <v>5</v>
      </c>
      <c r="M1476" s="188">
        <v>528</v>
      </c>
      <c r="N1476" s="169" t="s">
        <v>11</v>
      </c>
    </row>
    <row r="1477" spans="1:14" x14ac:dyDescent="0.25">
      <c r="A1477" s="63" t="s">
        <v>8</v>
      </c>
      <c r="B1477" s="71" t="s">
        <v>3325</v>
      </c>
      <c r="C1477" s="2">
        <v>4099854195907</v>
      </c>
      <c r="D1477" s="84"/>
      <c r="E1477" s="85"/>
      <c r="G1477" s="156" t="str">
        <f>HYPERLINK("https://ledvance.com/pt/product-datasheet/301033/274908","Ficha Técnica")</f>
        <v>Ficha Técnica</v>
      </c>
      <c r="H1477" s="15">
        <v>1</v>
      </c>
      <c r="I1477" s="163">
        <v>42000</v>
      </c>
      <c r="J1477" s="15">
        <v>300</v>
      </c>
      <c r="K1477" s="163" t="s">
        <v>249</v>
      </c>
      <c r="L1477" s="15">
        <v>5</v>
      </c>
      <c r="M1477" s="188">
        <v>528</v>
      </c>
      <c r="N1477" s="169" t="s">
        <v>11</v>
      </c>
    </row>
    <row r="1478" spans="1:14" x14ac:dyDescent="0.25">
      <c r="A1478" s="63" t="s">
        <v>8</v>
      </c>
      <c r="B1478" s="71" t="s">
        <v>3326</v>
      </c>
      <c r="C1478" s="2">
        <v>4099854195914</v>
      </c>
      <c r="D1478" s="84"/>
      <c r="E1478" s="85"/>
      <c r="G1478" s="156" t="str">
        <f>HYPERLINK("https://ledvance.com/pt/product-datasheet/301033/274910","Ficha Técnica")</f>
        <v>Ficha Técnica</v>
      </c>
      <c r="H1478" s="15">
        <v>1</v>
      </c>
      <c r="I1478" s="163">
        <v>42000</v>
      </c>
      <c r="J1478" s="15">
        <v>300</v>
      </c>
      <c r="K1478" s="163" t="s">
        <v>249</v>
      </c>
      <c r="L1478" s="15">
        <v>5</v>
      </c>
      <c r="M1478" s="188">
        <v>528</v>
      </c>
      <c r="N1478" s="169" t="s">
        <v>11</v>
      </c>
    </row>
    <row r="1479" spans="1:14" x14ac:dyDescent="0.25">
      <c r="A1479" s="63" t="s">
        <v>8</v>
      </c>
      <c r="B1479" s="71" t="s">
        <v>3327</v>
      </c>
      <c r="C1479" s="2">
        <v>4099854195976</v>
      </c>
      <c r="D1479" s="84"/>
      <c r="E1479" s="85"/>
      <c r="G1479" s="156" t="str">
        <f>HYPERLINK("https://ledvance.com/pt/product-datasheet/301033/274882","Ficha Técnica")</f>
        <v>Ficha Técnica</v>
      </c>
      <c r="H1479" s="15">
        <v>1</v>
      </c>
      <c r="I1479" s="163">
        <v>39600</v>
      </c>
      <c r="J1479" s="15">
        <v>300</v>
      </c>
      <c r="K1479" s="163" t="s">
        <v>249</v>
      </c>
      <c r="L1479" s="15">
        <v>5</v>
      </c>
      <c r="M1479" s="188">
        <v>528</v>
      </c>
      <c r="N1479" s="169" t="s">
        <v>11</v>
      </c>
    </row>
    <row r="1480" spans="1:14" x14ac:dyDescent="0.25">
      <c r="A1480" s="63" t="s">
        <v>8</v>
      </c>
      <c r="B1480" s="71" t="s">
        <v>3328</v>
      </c>
      <c r="C1480" s="2">
        <v>4099854196003</v>
      </c>
      <c r="D1480" s="84"/>
      <c r="E1480" s="85"/>
      <c r="G1480" s="156" t="str">
        <f>HYPERLINK("https://ledvance.com/pt/product-datasheet/301033/274884","Ficha Técnica")</f>
        <v>Ficha Técnica</v>
      </c>
      <c r="H1480" s="15">
        <v>1</v>
      </c>
      <c r="I1480" s="163">
        <v>42000</v>
      </c>
      <c r="J1480" s="15">
        <v>300</v>
      </c>
      <c r="K1480" s="163" t="s">
        <v>249</v>
      </c>
      <c r="L1480" s="15">
        <v>5</v>
      </c>
      <c r="M1480" s="188">
        <v>528</v>
      </c>
      <c r="N1480" s="169" t="s">
        <v>11</v>
      </c>
    </row>
    <row r="1481" spans="1:14" x14ac:dyDescent="0.25">
      <c r="A1481" s="63" t="s">
        <v>8</v>
      </c>
      <c r="B1481" s="71" t="s">
        <v>3329</v>
      </c>
      <c r="C1481" s="2">
        <v>4099854196010</v>
      </c>
      <c r="D1481" s="84"/>
      <c r="E1481" s="85"/>
      <c r="G1481" s="156" t="str">
        <f>HYPERLINK("https://ledvance.com/pt/product-datasheet/301033/274886","Ficha Técnica")</f>
        <v>Ficha Técnica</v>
      </c>
      <c r="H1481" s="15">
        <v>1</v>
      </c>
      <c r="I1481" s="163">
        <v>42000</v>
      </c>
      <c r="J1481" s="15">
        <v>300</v>
      </c>
      <c r="K1481" s="163" t="s">
        <v>249</v>
      </c>
      <c r="L1481" s="15">
        <v>5</v>
      </c>
      <c r="M1481" s="188">
        <v>528</v>
      </c>
      <c r="N1481" s="169" t="s">
        <v>11</v>
      </c>
    </row>
    <row r="1482" spans="1:14" x14ac:dyDescent="0.25">
      <c r="A1482" s="63" t="s">
        <v>8</v>
      </c>
      <c r="B1482" s="71" t="s">
        <v>3330</v>
      </c>
      <c r="C1482" s="2">
        <v>4099854196119</v>
      </c>
      <c r="D1482" s="84"/>
      <c r="E1482" s="85"/>
      <c r="G1482" s="156" t="str">
        <f>HYPERLINK("https://ledvance.com/pt/product-datasheet/301034/274918","Ficha Técnica")</f>
        <v>Ficha Técnica</v>
      </c>
      <c r="H1482" s="15">
        <v>1</v>
      </c>
      <c r="I1482" s="163">
        <v>56000</v>
      </c>
      <c r="J1482" s="15">
        <v>500</v>
      </c>
      <c r="K1482" s="163" t="s">
        <v>249</v>
      </c>
      <c r="L1482" s="15">
        <v>5</v>
      </c>
      <c r="M1482" s="188">
        <v>886</v>
      </c>
      <c r="N1482" s="169" t="s">
        <v>11</v>
      </c>
    </row>
    <row r="1483" spans="1:14" x14ac:dyDescent="0.25">
      <c r="A1483" s="63" t="s">
        <v>8</v>
      </c>
      <c r="B1483" s="71" t="s">
        <v>3331</v>
      </c>
      <c r="C1483" s="2">
        <v>4099854196218</v>
      </c>
      <c r="D1483" s="84"/>
      <c r="E1483" s="85"/>
      <c r="G1483" s="156" t="str">
        <f>HYPERLINK("https://ledvance.com/pt/product-datasheet/301034/274920","Ficha Técnica")</f>
        <v>Ficha Técnica</v>
      </c>
      <c r="H1483" s="15">
        <v>1</v>
      </c>
      <c r="I1483" s="163">
        <v>60000</v>
      </c>
      <c r="J1483" s="15">
        <v>500</v>
      </c>
      <c r="K1483" s="163" t="s">
        <v>249</v>
      </c>
      <c r="L1483" s="15">
        <v>5</v>
      </c>
      <c r="M1483" s="188">
        <v>886</v>
      </c>
      <c r="N1483" s="169" t="s">
        <v>11</v>
      </c>
    </row>
    <row r="1484" spans="1:14" x14ac:dyDescent="0.25">
      <c r="A1484" s="63" t="s">
        <v>8</v>
      </c>
      <c r="B1484" s="71" t="s">
        <v>3332</v>
      </c>
      <c r="C1484" s="2">
        <v>4099854196256</v>
      </c>
      <c r="D1484" s="84"/>
      <c r="E1484" s="85"/>
      <c r="G1484" s="156" t="str">
        <f>HYPERLINK("https://ledvance.com/pt/product-datasheet/301034/274922","Ficha Técnica")</f>
        <v>Ficha Técnica</v>
      </c>
      <c r="H1484" s="15">
        <v>1</v>
      </c>
      <c r="I1484" s="163">
        <v>60000</v>
      </c>
      <c r="J1484" s="15">
        <v>500</v>
      </c>
      <c r="K1484" s="163" t="s">
        <v>249</v>
      </c>
      <c r="L1484" s="15">
        <v>5</v>
      </c>
      <c r="M1484" s="188">
        <v>886</v>
      </c>
      <c r="N1484" s="169" t="s">
        <v>11</v>
      </c>
    </row>
    <row r="1485" spans="1:14" x14ac:dyDescent="0.25">
      <c r="A1485" s="63" t="s">
        <v>8</v>
      </c>
      <c r="B1485" s="71" t="s">
        <v>3333</v>
      </c>
      <c r="C1485" s="2">
        <v>4099854196287</v>
      </c>
      <c r="D1485" s="84"/>
      <c r="E1485" s="85"/>
      <c r="G1485" s="156" t="str">
        <f>HYPERLINK("https://ledvance.com/pt/product-datasheet/301034/274924","Ficha Técnica")</f>
        <v>Ficha Técnica</v>
      </c>
      <c r="H1485" s="15">
        <v>1</v>
      </c>
      <c r="I1485" s="163">
        <v>66000</v>
      </c>
      <c r="J1485" s="15">
        <v>500</v>
      </c>
      <c r="K1485" s="163" t="s">
        <v>249</v>
      </c>
      <c r="L1485" s="15">
        <v>5</v>
      </c>
      <c r="M1485" s="188">
        <v>725.2</v>
      </c>
      <c r="N1485" s="169" t="s">
        <v>11</v>
      </c>
    </row>
    <row r="1486" spans="1:14" x14ac:dyDescent="0.25">
      <c r="A1486" s="63" t="s">
        <v>8</v>
      </c>
      <c r="B1486" s="71" t="s">
        <v>3334</v>
      </c>
      <c r="C1486" s="2">
        <v>4099854196324</v>
      </c>
      <c r="D1486" s="84"/>
      <c r="E1486" s="85"/>
      <c r="G1486" s="156" t="str">
        <f>HYPERLINK("https://ledvance.com/pt/product-datasheet/301034/274926","Ficha Técnica")</f>
        <v>Ficha Técnica</v>
      </c>
      <c r="H1486" s="15">
        <v>1</v>
      </c>
      <c r="I1486" s="163">
        <v>70000</v>
      </c>
      <c r="J1486" s="15">
        <v>500</v>
      </c>
      <c r="K1486" s="163" t="s">
        <v>249</v>
      </c>
      <c r="L1486" s="15">
        <v>5</v>
      </c>
      <c r="M1486" s="188">
        <v>725.2</v>
      </c>
      <c r="N1486" s="169" t="s">
        <v>11</v>
      </c>
    </row>
    <row r="1487" spans="1:14" x14ac:dyDescent="0.25">
      <c r="A1487" s="63" t="s">
        <v>8</v>
      </c>
      <c r="B1487" s="71" t="s">
        <v>3335</v>
      </c>
      <c r="C1487" s="2">
        <v>4099854196331</v>
      </c>
      <c r="D1487" s="84"/>
      <c r="E1487" s="85"/>
      <c r="G1487" s="156" t="str">
        <f>HYPERLINK("https://ledvance.com/pt/product-datasheet/301034/274928","Ficha Técnica")</f>
        <v>Ficha Técnica</v>
      </c>
      <c r="H1487" s="15">
        <v>1</v>
      </c>
      <c r="I1487" s="163">
        <v>70000</v>
      </c>
      <c r="J1487" s="15">
        <v>500</v>
      </c>
      <c r="K1487" s="163" t="s">
        <v>249</v>
      </c>
      <c r="L1487" s="15">
        <v>5</v>
      </c>
      <c r="M1487" s="188">
        <v>725.2</v>
      </c>
      <c r="N1487" s="169" t="s">
        <v>11</v>
      </c>
    </row>
    <row r="1488" spans="1:14" x14ac:dyDescent="0.25">
      <c r="A1488" s="63" t="s">
        <v>8</v>
      </c>
      <c r="B1488" s="71" t="s">
        <v>3336</v>
      </c>
      <c r="C1488" s="2">
        <v>4099854196362</v>
      </c>
      <c r="D1488" s="84"/>
      <c r="E1488" s="85"/>
      <c r="G1488" s="156" t="str">
        <f>HYPERLINK("https://ledvance.com/pt/product-datasheet/301034/274930","Ficha Técnica")</f>
        <v>Ficha Técnica</v>
      </c>
      <c r="H1488" s="15">
        <v>1</v>
      </c>
      <c r="I1488" s="163">
        <v>66000</v>
      </c>
      <c r="J1488" s="15">
        <v>500</v>
      </c>
      <c r="K1488" s="163" t="s">
        <v>249</v>
      </c>
      <c r="L1488" s="15">
        <v>5</v>
      </c>
      <c r="M1488" s="188">
        <v>725.2</v>
      </c>
      <c r="N1488" s="169" t="s">
        <v>11</v>
      </c>
    </row>
    <row r="1489" spans="1:14" x14ac:dyDescent="0.25">
      <c r="A1489" s="63" t="s">
        <v>8</v>
      </c>
      <c r="B1489" s="71" t="s">
        <v>3337</v>
      </c>
      <c r="C1489" s="2">
        <v>4099854196379</v>
      </c>
      <c r="D1489" s="84"/>
      <c r="E1489" s="85"/>
      <c r="G1489" s="156" t="str">
        <f>HYPERLINK("https://ledvance.com/pt/product-datasheet/301034/274932","Ficha Técnica")</f>
        <v>Ficha Técnica</v>
      </c>
      <c r="H1489" s="15">
        <v>1</v>
      </c>
      <c r="I1489" s="163">
        <v>70000</v>
      </c>
      <c r="J1489" s="15">
        <v>500</v>
      </c>
      <c r="K1489" s="163" t="s">
        <v>249</v>
      </c>
      <c r="L1489" s="15">
        <v>5</v>
      </c>
      <c r="M1489" s="188">
        <v>725.2</v>
      </c>
      <c r="N1489" s="169" t="s">
        <v>11</v>
      </c>
    </row>
    <row r="1490" spans="1:14" x14ac:dyDescent="0.25">
      <c r="A1490" s="63" t="s">
        <v>8</v>
      </c>
      <c r="B1490" s="71" t="s">
        <v>3338</v>
      </c>
      <c r="C1490" s="2">
        <v>4099854196386</v>
      </c>
      <c r="D1490" s="84"/>
      <c r="E1490" s="85"/>
      <c r="G1490" s="156" t="str">
        <f>HYPERLINK("https://ledvance.com/pt/product-datasheet/301034/274934","Ficha Técnica")</f>
        <v>Ficha Técnica</v>
      </c>
      <c r="H1490" s="15">
        <v>1</v>
      </c>
      <c r="I1490" s="163">
        <v>70000</v>
      </c>
      <c r="J1490" s="15">
        <v>500</v>
      </c>
      <c r="K1490" s="163" t="s">
        <v>249</v>
      </c>
      <c r="L1490" s="15">
        <v>5</v>
      </c>
      <c r="M1490" s="188">
        <v>725.2</v>
      </c>
      <c r="N1490" s="169" t="s">
        <v>11</v>
      </c>
    </row>
    <row r="1491" spans="1:14" x14ac:dyDescent="0.25">
      <c r="A1491" s="63" t="s">
        <v>8</v>
      </c>
      <c r="B1491" s="71" t="s">
        <v>3339</v>
      </c>
      <c r="C1491" s="2">
        <v>4099854196393</v>
      </c>
      <c r="D1491" s="84"/>
      <c r="E1491" s="85"/>
      <c r="G1491" s="156" t="str">
        <f>HYPERLINK("https://ledvance.com/pt/product-datasheet/301034/274888","Ficha Técnica")</f>
        <v>Ficha Técnica</v>
      </c>
      <c r="H1491" s="15">
        <v>1</v>
      </c>
      <c r="I1491" s="163">
        <v>66000</v>
      </c>
      <c r="J1491" s="15">
        <v>500</v>
      </c>
      <c r="K1491" s="163" t="s">
        <v>249</v>
      </c>
      <c r="L1491" s="15">
        <v>5</v>
      </c>
      <c r="M1491" s="188">
        <v>725.2</v>
      </c>
      <c r="N1491" s="169" t="s">
        <v>11</v>
      </c>
    </row>
    <row r="1492" spans="1:14" x14ac:dyDescent="0.25">
      <c r="A1492" s="63" t="s">
        <v>8</v>
      </c>
      <c r="B1492" s="71" t="s">
        <v>3340</v>
      </c>
      <c r="C1492" s="2">
        <v>4099854196423</v>
      </c>
      <c r="D1492" s="84"/>
      <c r="E1492" s="85"/>
      <c r="G1492" s="156" t="str">
        <f>HYPERLINK("https://ledvance.com/pt/product-datasheet/301034/274890","Ficha Técnica")</f>
        <v>Ficha Técnica</v>
      </c>
      <c r="H1492" s="15">
        <v>1</v>
      </c>
      <c r="I1492" s="163">
        <v>70000</v>
      </c>
      <c r="J1492" s="15">
        <v>500</v>
      </c>
      <c r="K1492" s="163" t="s">
        <v>249</v>
      </c>
      <c r="L1492" s="15">
        <v>5</v>
      </c>
      <c r="M1492" s="188">
        <v>725.2</v>
      </c>
      <c r="N1492" s="169" t="s">
        <v>11</v>
      </c>
    </row>
    <row r="1493" spans="1:14" x14ac:dyDescent="0.25">
      <c r="A1493" s="63" t="s">
        <v>8</v>
      </c>
      <c r="B1493" s="71" t="s">
        <v>3341</v>
      </c>
      <c r="C1493" s="4">
        <v>4099854196430</v>
      </c>
      <c r="D1493" s="84"/>
      <c r="E1493" s="85"/>
      <c r="G1493" s="156" t="str">
        <f>HYPERLINK("https://ledvance.com/pt/product-datasheet/301034/274892","Ficha Técnica")</f>
        <v>Ficha Técnica</v>
      </c>
      <c r="H1493" s="15">
        <v>1</v>
      </c>
      <c r="I1493" s="163">
        <v>70000</v>
      </c>
      <c r="J1493" s="15">
        <v>500</v>
      </c>
      <c r="K1493" s="163" t="s">
        <v>249</v>
      </c>
      <c r="L1493" s="15">
        <v>5</v>
      </c>
      <c r="M1493" s="188">
        <v>725.2</v>
      </c>
      <c r="N1493" s="169" t="s">
        <v>11</v>
      </c>
    </row>
    <row r="1494" spans="1:14" x14ac:dyDescent="0.25">
      <c r="A1494" s="66" t="s">
        <v>8</v>
      </c>
      <c r="B1494" s="69" t="s">
        <v>1247</v>
      </c>
      <c r="C1494" s="51"/>
      <c r="D1494" s="65"/>
      <c r="E1494" s="92"/>
      <c r="F1494" s="12"/>
      <c r="G1494" s="157"/>
      <c r="H1494" s="12"/>
      <c r="I1494" s="62"/>
      <c r="J1494" s="27"/>
      <c r="K1494" s="62"/>
      <c r="L1494" s="12"/>
      <c r="M1494" s="191"/>
      <c r="N1494" s="65"/>
    </row>
    <row r="1495" spans="1:14" x14ac:dyDescent="0.25">
      <c r="A1495" s="63" t="s">
        <v>8</v>
      </c>
      <c r="B1495" s="71" t="s">
        <v>3342</v>
      </c>
      <c r="C1495" s="2">
        <v>4099854196058</v>
      </c>
      <c r="D1495" s="93"/>
      <c r="E1495" s="61"/>
      <c r="G1495" s="156" t="str">
        <f>HYPERLINK("https://ledvance.com/pt/product-datasheet/301033/274912","Ficha Técnica")</f>
        <v>Ficha Técnica</v>
      </c>
      <c r="H1495" s="15">
        <v>1</v>
      </c>
      <c r="I1495" s="163">
        <v>33600</v>
      </c>
      <c r="J1495" s="15">
        <v>300</v>
      </c>
      <c r="K1495" s="163" t="s">
        <v>249</v>
      </c>
      <c r="L1495" s="15">
        <v>5</v>
      </c>
      <c r="M1495" s="188">
        <v>604.4</v>
      </c>
      <c r="N1495" s="169" t="s">
        <v>11</v>
      </c>
    </row>
    <row r="1496" spans="1:14" x14ac:dyDescent="0.25">
      <c r="A1496" s="63" t="s">
        <v>8</v>
      </c>
      <c r="B1496" s="71" t="s">
        <v>3343</v>
      </c>
      <c r="C1496" s="2">
        <v>4099854196065</v>
      </c>
      <c r="D1496" s="93"/>
      <c r="E1496" s="61"/>
      <c r="G1496" s="156" t="str">
        <f>HYPERLINK("https://ledvance.com/pt/product-datasheet/301033/274914","Ficha Técnica")</f>
        <v>Ficha Técnica</v>
      </c>
      <c r="H1496" s="15">
        <v>1</v>
      </c>
      <c r="I1496" s="163">
        <v>36000</v>
      </c>
      <c r="J1496" s="15">
        <v>300</v>
      </c>
      <c r="K1496" s="163" t="s">
        <v>249</v>
      </c>
      <c r="L1496" s="15">
        <v>5</v>
      </c>
      <c r="M1496" s="188">
        <v>604.4</v>
      </c>
      <c r="N1496" s="169" t="s">
        <v>11</v>
      </c>
    </row>
    <row r="1497" spans="1:14" x14ac:dyDescent="0.25">
      <c r="A1497" s="63" t="s">
        <v>8</v>
      </c>
      <c r="B1497" s="71" t="s">
        <v>3344</v>
      </c>
      <c r="C1497" s="2">
        <v>4099854196072</v>
      </c>
      <c r="D1497" s="93"/>
      <c r="E1497" s="61"/>
      <c r="G1497" s="156" t="str">
        <f>HYPERLINK("https://ledvance.com/pt/product-datasheet/301033/274916","Ficha Técnica")</f>
        <v>Ficha Técnica</v>
      </c>
      <c r="H1497" s="15">
        <v>1</v>
      </c>
      <c r="I1497" s="163">
        <v>36000</v>
      </c>
      <c r="J1497" s="15">
        <v>300</v>
      </c>
      <c r="K1497" s="163" t="s">
        <v>249</v>
      </c>
      <c r="L1497" s="15">
        <v>5</v>
      </c>
      <c r="M1497" s="188">
        <v>604.4</v>
      </c>
      <c r="N1497" s="169" t="s">
        <v>11</v>
      </c>
    </row>
    <row r="1498" spans="1:14" x14ac:dyDescent="0.25">
      <c r="A1498" s="63" t="s">
        <v>8</v>
      </c>
      <c r="B1498" s="71" t="s">
        <v>3345</v>
      </c>
      <c r="C1498" s="2">
        <v>4099854196447</v>
      </c>
      <c r="D1498" s="93"/>
      <c r="E1498" s="61"/>
      <c r="G1498" s="156" t="str">
        <f>HYPERLINK("https://ledvance.com/pt/product-datasheet/301034/274936","Ficha Técnica")</f>
        <v>Ficha Técnica</v>
      </c>
      <c r="H1498" s="15">
        <v>1</v>
      </c>
      <c r="I1498" s="163">
        <v>56000</v>
      </c>
      <c r="J1498" s="15">
        <v>500</v>
      </c>
      <c r="K1498" s="163" t="s">
        <v>249</v>
      </c>
      <c r="L1498" s="15">
        <v>5</v>
      </c>
      <c r="M1498" s="188">
        <v>886</v>
      </c>
      <c r="N1498" s="169" t="s">
        <v>11</v>
      </c>
    </row>
    <row r="1499" spans="1:14" x14ac:dyDescent="0.25">
      <c r="A1499" s="63" t="s">
        <v>8</v>
      </c>
      <c r="B1499" s="71" t="s">
        <v>3346</v>
      </c>
      <c r="C1499" s="2">
        <v>4099854196454</v>
      </c>
      <c r="D1499" s="93"/>
      <c r="E1499" s="61"/>
      <c r="G1499" s="156" t="str">
        <f>HYPERLINK("https://ledvance.com/pt/product-datasheet/301034/274938","Ficha Técnica")</f>
        <v>Ficha Técnica</v>
      </c>
      <c r="H1499" s="15">
        <v>1</v>
      </c>
      <c r="I1499" s="163">
        <v>60000</v>
      </c>
      <c r="J1499" s="15">
        <v>500</v>
      </c>
      <c r="K1499" s="163" t="s">
        <v>249</v>
      </c>
      <c r="L1499" s="15">
        <v>5</v>
      </c>
      <c r="M1499" s="188">
        <v>886</v>
      </c>
      <c r="N1499" s="169" t="s">
        <v>11</v>
      </c>
    </row>
    <row r="1500" spans="1:14" x14ac:dyDescent="0.25">
      <c r="A1500" s="63" t="s">
        <v>8</v>
      </c>
      <c r="B1500" s="71" t="s">
        <v>3347</v>
      </c>
      <c r="C1500" s="2">
        <v>4099854196461</v>
      </c>
      <c r="D1500" s="93"/>
      <c r="E1500" s="61"/>
      <c r="G1500" s="156" t="str">
        <f>HYPERLINK("https://ledvance.com/pt/product-datasheet/301034/274940","Ficha Técnica")</f>
        <v>Ficha Técnica</v>
      </c>
      <c r="H1500" s="15">
        <v>1</v>
      </c>
      <c r="I1500" s="163">
        <v>60000</v>
      </c>
      <c r="J1500" s="15">
        <v>500</v>
      </c>
      <c r="K1500" s="163" t="s">
        <v>249</v>
      </c>
      <c r="L1500" s="15">
        <v>5</v>
      </c>
      <c r="M1500" s="188">
        <v>886</v>
      </c>
      <c r="N1500" s="169" t="s">
        <v>11</v>
      </c>
    </row>
    <row r="1501" spans="1:14" x14ac:dyDescent="0.25">
      <c r="A1501" s="66" t="s">
        <v>8</v>
      </c>
      <c r="B1501" s="69" t="s">
        <v>1248</v>
      </c>
      <c r="C1501" s="51"/>
      <c r="D1501" s="65"/>
      <c r="E1501" s="92"/>
      <c r="F1501" s="12"/>
      <c r="G1501" s="157"/>
      <c r="H1501" s="12"/>
      <c r="I1501" s="62"/>
      <c r="J1501" s="27"/>
      <c r="K1501" s="62"/>
      <c r="L1501" s="12"/>
      <c r="M1501" s="191"/>
      <c r="N1501" s="65"/>
    </row>
    <row r="1502" spans="1:14" x14ac:dyDescent="0.25">
      <c r="A1502" s="63" t="s">
        <v>8</v>
      </c>
      <c r="B1502" s="71" t="s">
        <v>1249</v>
      </c>
      <c r="C1502" s="2">
        <v>4099854196508</v>
      </c>
      <c r="D1502" s="93"/>
      <c r="E1502" s="61"/>
      <c r="G1502" s="156" t="str">
        <f>HYPERLINK("https://ledvance.com/pt/product-datasheet/301035/274942","Ficha Técnica")</f>
        <v>Ficha Técnica</v>
      </c>
      <c r="H1502" s="15">
        <v>4</v>
      </c>
      <c r="I1502" s="163"/>
      <c r="J1502" s="15">
        <v>300</v>
      </c>
      <c r="K1502" s="163" t="s">
        <v>1839</v>
      </c>
      <c r="L1502" s="15">
        <v>5</v>
      </c>
      <c r="M1502" s="188">
        <v>221.5</v>
      </c>
      <c r="N1502" s="169" t="s">
        <v>11</v>
      </c>
    </row>
    <row r="1503" spans="1:14" x14ac:dyDescent="0.25">
      <c r="A1503" s="63" t="s">
        <v>8</v>
      </c>
      <c r="B1503" s="71" t="s">
        <v>1250</v>
      </c>
      <c r="C1503" s="2">
        <v>4099854196522</v>
      </c>
      <c r="D1503" s="93"/>
      <c r="E1503" s="61"/>
      <c r="G1503" s="156" t="str">
        <f>HYPERLINK("https://ledvance.com/pt/product-datasheet/301035/274945","Ficha Técnica")</f>
        <v>Ficha Técnica</v>
      </c>
      <c r="H1503" s="15">
        <v>4</v>
      </c>
      <c r="I1503" s="163"/>
      <c r="J1503" s="15">
        <v>500</v>
      </c>
      <c r="K1503" s="163" t="s">
        <v>1839</v>
      </c>
      <c r="L1503" s="15">
        <v>5</v>
      </c>
      <c r="M1503" s="188">
        <v>322.10000000000002</v>
      </c>
      <c r="N1503" s="169" t="s">
        <v>11</v>
      </c>
    </row>
    <row r="1504" spans="1:14" x14ac:dyDescent="0.25">
      <c r="A1504" s="63" t="s">
        <v>8</v>
      </c>
      <c r="B1504" s="71" t="s">
        <v>3348</v>
      </c>
      <c r="C1504" s="2">
        <v>4099854196607</v>
      </c>
      <c r="D1504" s="93"/>
      <c r="E1504" s="61"/>
      <c r="G1504" s="156" t="str">
        <f>HYPERLINK("https://ledvance.com/pt/product-datasheet/301035/274948","Ficha Técnica")</f>
        <v>Ficha Técnica</v>
      </c>
      <c r="H1504" s="15">
        <v>4</v>
      </c>
      <c r="I1504" s="163"/>
      <c r="J1504" s="15">
        <v>300</v>
      </c>
      <c r="K1504" s="163" t="s">
        <v>1839</v>
      </c>
      <c r="L1504" s="15">
        <v>5</v>
      </c>
      <c r="M1504" s="188">
        <v>422.7</v>
      </c>
      <c r="N1504" s="169" t="s">
        <v>11</v>
      </c>
    </row>
    <row r="1505" spans="1:14" x14ac:dyDescent="0.25">
      <c r="A1505" s="63" t="s">
        <v>8</v>
      </c>
      <c r="B1505" s="71" t="s">
        <v>3349</v>
      </c>
      <c r="C1505" s="2">
        <v>4099854198724</v>
      </c>
      <c r="D1505" s="93"/>
      <c r="E1505" s="61"/>
      <c r="G1505" s="156" t="str">
        <f>HYPERLINK("https://ledvance.com/pt/product-datasheet/301035/274951","Ficha Técnica")</f>
        <v>Ficha Técnica</v>
      </c>
      <c r="H1505" s="15">
        <v>4</v>
      </c>
      <c r="I1505" s="163"/>
      <c r="J1505" s="15">
        <v>500</v>
      </c>
      <c r="K1505" s="163" t="s">
        <v>1839</v>
      </c>
      <c r="L1505" s="15">
        <v>5</v>
      </c>
      <c r="M1505" s="188">
        <v>684.2</v>
      </c>
      <c r="N1505" s="169" t="s">
        <v>11</v>
      </c>
    </row>
    <row r="1506" spans="1:14" x14ac:dyDescent="0.25">
      <c r="A1506" s="66" t="s">
        <v>40</v>
      </c>
      <c r="B1506" s="69" t="s">
        <v>2115</v>
      </c>
      <c r="C1506" s="51"/>
      <c r="D1506" s="65"/>
      <c r="E1506" s="92"/>
      <c r="F1506" s="12"/>
      <c r="G1506" s="157"/>
      <c r="H1506" s="12"/>
      <c r="I1506" s="62"/>
      <c r="J1506" s="27"/>
      <c r="K1506" s="62"/>
      <c r="L1506" s="12"/>
      <c r="M1506" s="191"/>
      <c r="N1506" s="65"/>
    </row>
    <row r="1507" spans="1:14" x14ac:dyDescent="0.25">
      <c r="A1507" s="63" t="s">
        <v>40</v>
      </c>
      <c r="B1507" s="71" t="s">
        <v>1251</v>
      </c>
      <c r="C1507" s="2">
        <v>4099854216053</v>
      </c>
      <c r="D1507" s="84"/>
      <c r="E1507" s="85"/>
      <c r="G1507" s="156" t="str">
        <f>HYPERLINK("","Ficha Técnica")</f>
        <v>Ficha Técnica</v>
      </c>
      <c r="H1507" s="15"/>
      <c r="I1507" s="163"/>
      <c r="J1507" s="15"/>
      <c r="K1507" s="163"/>
      <c r="L1507" s="15"/>
      <c r="M1507" s="188">
        <v>56.4</v>
      </c>
      <c r="N1507" s="169" t="s">
        <v>11</v>
      </c>
    </row>
    <row r="1508" spans="1:14" x14ac:dyDescent="0.25">
      <c r="A1508" s="63" t="s">
        <v>40</v>
      </c>
      <c r="B1508" s="71" t="s">
        <v>1252</v>
      </c>
      <c r="C1508" s="2">
        <v>4099854216077</v>
      </c>
      <c r="D1508" s="84"/>
      <c r="E1508" s="85"/>
      <c r="G1508" s="156" t="str">
        <f>HYPERLINK("","Ficha Técnica")</f>
        <v>Ficha Técnica</v>
      </c>
      <c r="H1508" s="15"/>
      <c r="I1508" s="163"/>
      <c r="J1508" s="15"/>
      <c r="K1508" s="163"/>
      <c r="L1508" s="15"/>
      <c r="M1508" s="188">
        <v>56.4</v>
      </c>
      <c r="N1508" s="169" t="s">
        <v>11</v>
      </c>
    </row>
    <row r="1509" spans="1:14" x14ac:dyDescent="0.25">
      <c r="A1509" s="66" t="s">
        <v>8</v>
      </c>
      <c r="B1509" s="69" t="s">
        <v>2139</v>
      </c>
      <c r="C1509" s="51"/>
      <c r="D1509" s="120"/>
      <c r="E1509" s="121"/>
      <c r="F1509" s="12"/>
      <c r="G1509" s="157"/>
      <c r="H1509" s="12"/>
      <c r="I1509" s="62"/>
      <c r="J1509" s="27"/>
      <c r="K1509" s="62"/>
      <c r="L1509" s="12"/>
      <c r="M1509" s="191"/>
      <c r="N1509" s="65"/>
    </row>
    <row r="1510" spans="1:14" x14ac:dyDescent="0.25">
      <c r="A1510" s="63" t="s">
        <v>8</v>
      </c>
      <c r="B1510" s="71" t="s">
        <v>3350</v>
      </c>
      <c r="C1510" s="2">
        <v>4058075552234</v>
      </c>
      <c r="D1510" s="84"/>
      <c r="E1510" s="85"/>
      <c r="F1510" s="17"/>
      <c r="G1510" s="156" t="str">
        <f>HYPERLINK("https://ledvance.com/pt/product-datasheet/145501/43144","Ficha Técnica")</f>
        <v>Ficha Técnica</v>
      </c>
      <c r="H1510" s="15">
        <v>1</v>
      </c>
      <c r="I1510" s="163">
        <v>1650</v>
      </c>
      <c r="J1510" s="15">
        <v>13</v>
      </c>
      <c r="K1510" s="163" t="s">
        <v>249</v>
      </c>
      <c r="L1510" s="15">
        <v>5</v>
      </c>
      <c r="M1510" s="188">
        <v>322.5</v>
      </c>
      <c r="N1510" s="169" t="s">
        <v>11</v>
      </c>
    </row>
    <row r="1511" spans="1:14" x14ac:dyDescent="0.25">
      <c r="A1511" s="63" t="s">
        <v>8</v>
      </c>
      <c r="B1511" s="71" t="s">
        <v>3351</v>
      </c>
      <c r="C1511" s="2">
        <v>4058075552241</v>
      </c>
      <c r="D1511" s="84"/>
      <c r="E1511" s="85"/>
      <c r="F1511" s="17"/>
      <c r="G1511" s="156" t="str">
        <f>HYPERLINK("https://ledvance.com/pt/product-datasheet/145501/43146","Ficha Técnica")</f>
        <v>Ficha Técnica</v>
      </c>
      <c r="H1511" s="15">
        <v>1</v>
      </c>
      <c r="I1511" s="163">
        <v>1700</v>
      </c>
      <c r="J1511" s="15">
        <v>13</v>
      </c>
      <c r="K1511" s="163" t="s">
        <v>249</v>
      </c>
      <c r="L1511" s="15">
        <v>5</v>
      </c>
      <c r="M1511" s="188">
        <v>322.5</v>
      </c>
      <c r="N1511" s="169" t="s">
        <v>11</v>
      </c>
    </row>
    <row r="1512" spans="1:14" x14ac:dyDescent="0.25">
      <c r="A1512" s="63" t="s">
        <v>8</v>
      </c>
      <c r="B1512" s="71" t="s">
        <v>3352</v>
      </c>
      <c r="C1512" s="2">
        <v>4058075552258</v>
      </c>
      <c r="D1512" s="84"/>
      <c r="E1512" s="85"/>
      <c r="F1512" s="17"/>
      <c r="G1512" s="156" t="str">
        <f>HYPERLINK("https://ledvance.com/pt/product-datasheet/145501/43148","Ficha Técnica")</f>
        <v>Ficha Técnica</v>
      </c>
      <c r="H1512" s="15">
        <v>1</v>
      </c>
      <c r="I1512" s="163">
        <v>1780</v>
      </c>
      <c r="J1512" s="15">
        <v>13</v>
      </c>
      <c r="K1512" s="163" t="s">
        <v>249</v>
      </c>
      <c r="L1512" s="15">
        <v>5</v>
      </c>
      <c r="M1512" s="188">
        <v>322.5</v>
      </c>
      <c r="N1512" s="169" t="s">
        <v>11</v>
      </c>
    </row>
    <row r="1513" spans="1:14" x14ac:dyDescent="0.25">
      <c r="A1513" s="63" t="s">
        <v>8</v>
      </c>
      <c r="B1513" s="71" t="s">
        <v>3353</v>
      </c>
      <c r="C1513" s="2">
        <v>4058075552265</v>
      </c>
      <c r="D1513" s="84"/>
      <c r="E1513" s="85"/>
      <c r="F1513" s="17"/>
      <c r="G1513" s="156" t="str">
        <f>HYPERLINK("https://ledvance.com/pt/product-datasheet/145501/43150","Ficha Técnica")</f>
        <v>Ficha Técnica</v>
      </c>
      <c r="H1513" s="15">
        <v>1</v>
      </c>
      <c r="I1513" s="163">
        <v>3270</v>
      </c>
      <c r="J1513" s="15">
        <v>25</v>
      </c>
      <c r="K1513" s="163" t="s">
        <v>249</v>
      </c>
      <c r="L1513" s="15">
        <v>5</v>
      </c>
      <c r="M1513" s="188">
        <v>340.1</v>
      </c>
      <c r="N1513" s="169" t="s">
        <v>11</v>
      </c>
    </row>
    <row r="1514" spans="1:14" x14ac:dyDescent="0.25">
      <c r="A1514" s="63" t="s">
        <v>8</v>
      </c>
      <c r="B1514" s="71" t="s">
        <v>3354</v>
      </c>
      <c r="C1514" s="2">
        <v>4058075552272</v>
      </c>
      <c r="D1514" s="84"/>
      <c r="E1514" s="85"/>
      <c r="F1514" s="17"/>
      <c r="G1514" s="156" t="str">
        <f>HYPERLINK("https://ledvance.com/pt/product-datasheet/145501/43152","Ficha Técnica")</f>
        <v>Ficha Técnica</v>
      </c>
      <c r="H1514" s="15">
        <v>1</v>
      </c>
      <c r="I1514" s="163">
        <v>3370</v>
      </c>
      <c r="J1514" s="15">
        <v>25</v>
      </c>
      <c r="K1514" s="163" t="s">
        <v>249</v>
      </c>
      <c r="L1514" s="15">
        <v>5</v>
      </c>
      <c r="M1514" s="188">
        <v>340.1</v>
      </c>
      <c r="N1514" s="169" t="s">
        <v>11</v>
      </c>
    </row>
    <row r="1515" spans="1:14" x14ac:dyDescent="0.25">
      <c r="A1515" s="63" t="s">
        <v>8</v>
      </c>
      <c r="B1515" s="71" t="s">
        <v>3355</v>
      </c>
      <c r="C1515" s="2">
        <v>4058075552289</v>
      </c>
      <c r="D1515" s="84"/>
      <c r="E1515" s="85"/>
      <c r="F1515" s="17"/>
      <c r="G1515" s="156" t="str">
        <f>HYPERLINK("https://ledvance.com/pt/product-datasheet/145501/43154","Ficha Técnica")</f>
        <v>Ficha Técnica</v>
      </c>
      <c r="H1515" s="15">
        <v>1</v>
      </c>
      <c r="I1515" s="163">
        <v>3550</v>
      </c>
      <c r="J1515" s="15">
        <v>25</v>
      </c>
      <c r="K1515" s="163" t="s">
        <v>249</v>
      </c>
      <c r="L1515" s="15">
        <v>5</v>
      </c>
      <c r="M1515" s="188">
        <v>340.1</v>
      </c>
      <c r="N1515" s="169" t="s">
        <v>11</v>
      </c>
    </row>
    <row r="1516" spans="1:14" x14ac:dyDescent="0.25">
      <c r="A1516" s="63" t="s">
        <v>8</v>
      </c>
      <c r="B1516" s="71" t="s">
        <v>3356</v>
      </c>
      <c r="C1516" s="2">
        <v>4058075552296</v>
      </c>
      <c r="D1516" s="84"/>
      <c r="E1516" s="85"/>
      <c r="F1516" s="17"/>
      <c r="G1516" s="156" t="str">
        <f>HYPERLINK("https://ledvance.com/pt/product-datasheet/145501/43156","Ficha Técnica")</f>
        <v>Ficha Técnica</v>
      </c>
      <c r="H1516" s="15">
        <v>1</v>
      </c>
      <c r="I1516" s="163">
        <v>4850</v>
      </c>
      <c r="J1516" s="15">
        <v>36</v>
      </c>
      <c r="K1516" s="163" t="s">
        <v>249</v>
      </c>
      <c r="L1516" s="15">
        <v>5</v>
      </c>
      <c r="M1516" s="188">
        <v>343.9</v>
      </c>
      <c r="N1516" s="169" t="s">
        <v>11</v>
      </c>
    </row>
    <row r="1517" spans="1:14" x14ac:dyDescent="0.25">
      <c r="A1517" s="63" t="s">
        <v>8</v>
      </c>
      <c r="B1517" s="71" t="s">
        <v>3357</v>
      </c>
      <c r="C1517" s="2">
        <v>4058075552302</v>
      </c>
      <c r="D1517" s="84"/>
      <c r="E1517" s="85"/>
      <c r="F1517" s="17"/>
      <c r="G1517" s="156" t="str">
        <f>HYPERLINK("https://ledvance.com/pt/product-datasheet/145501/43158","Ficha Técnica")</f>
        <v>Ficha Técnica</v>
      </c>
      <c r="H1517" s="15">
        <v>1</v>
      </c>
      <c r="I1517" s="163">
        <v>4950</v>
      </c>
      <c r="J1517" s="15">
        <v>36</v>
      </c>
      <c r="K1517" s="163" t="s">
        <v>249</v>
      </c>
      <c r="L1517" s="15">
        <v>5</v>
      </c>
      <c r="M1517" s="188">
        <v>343.9</v>
      </c>
      <c r="N1517" s="169" t="s">
        <v>11</v>
      </c>
    </row>
    <row r="1518" spans="1:14" x14ac:dyDescent="0.25">
      <c r="A1518" s="63" t="s">
        <v>8</v>
      </c>
      <c r="B1518" s="71" t="s">
        <v>3358</v>
      </c>
      <c r="C1518" s="2">
        <v>4058075552319</v>
      </c>
      <c r="D1518" s="84"/>
      <c r="E1518" s="85"/>
      <c r="F1518" s="17"/>
      <c r="G1518" s="156" t="str">
        <f>HYPERLINK("https://ledvance.com/pt/product-datasheet/145501/43160","Ficha Técnica")</f>
        <v>Ficha Técnica</v>
      </c>
      <c r="H1518" s="15">
        <v>1</v>
      </c>
      <c r="I1518" s="163">
        <v>5180</v>
      </c>
      <c r="J1518" s="15">
        <v>36</v>
      </c>
      <c r="K1518" s="163" t="s">
        <v>249</v>
      </c>
      <c r="L1518" s="15">
        <v>5</v>
      </c>
      <c r="M1518" s="188">
        <v>343.9</v>
      </c>
      <c r="N1518" s="169" t="s">
        <v>11</v>
      </c>
    </row>
    <row r="1519" spans="1:14" x14ac:dyDescent="0.25">
      <c r="A1519" s="63" t="s">
        <v>8</v>
      </c>
      <c r="B1519" s="71" t="s">
        <v>3359</v>
      </c>
      <c r="C1519" s="2">
        <v>4058075552326</v>
      </c>
      <c r="D1519" s="84"/>
      <c r="E1519" s="85"/>
      <c r="F1519" s="17"/>
      <c r="G1519" s="156" t="str">
        <f>HYPERLINK("https://ledvance.com/pt/product-datasheet/145503/43162","Ficha Técnica")</f>
        <v>Ficha Técnica</v>
      </c>
      <c r="H1519" s="15">
        <v>1</v>
      </c>
      <c r="I1519" s="163">
        <v>7750</v>
      </c>
      <c r="J1519" s="15">
        <v>58</v>
      </c>
      <c r="K1519" s="163" t="s">
        <v>249</v>
      </c>
      <c r="L1519" s="15">
        <v>5</v>
      </c>
      <c r="M1519" s="188">
        <v>413.9</v>
      </c>
      <c r="N1519" s="169" t="s">
        <v>11</v>
      </c>
    </row>
    <row r="1520" spans="1:14" x14ac:dyDescent="0.25">
      <c r="A1520" s="63" t="s">
        <v>8</v>
      </c>
      <c r="B1520" s="71" t="s">
        <v>3360</v>
      </c>
      <c r="C1520" s="2">
        <v>4058075552333</v>
      </c>
      <c r="D1520" s="84"/>
      <c r="E1520" s="85"/>
      <c r="F1520" s="17"/>
      <c r="G1520" s="156" t="str">
        <f>HYPERLINK("https://ledvance.com/pt/product-datasheet/145503/43164","Ficha Técnica")</f>
        <v>Ficha Técnica</v>
      </c>
      <c r="H1520" s="15">
        <v>1</v>
      </c>
      <c r="I1520" s="163">
        <v>8250</v>
      </c>
      <c r="J1520" s="15">
        <v>58</v>
      </c>
      <c r="K1520" s="163" t="s">
        <v>249</v>
      </c>
      <c r="L1520" s="15">
        <v>5</v>
      </c>
      <c r="M1520" s="188">
        <v>413.9</v>
      </c>
      <c r="N1520" s="169" t="s">
        <v>11</v>
      </c>
    </row>
    <row r="1521" spans="1:14" x14ac:dyDescent="0.25">
      <c r="A1521" s="63" t="s">
        <v>8</v>
      </c>
      <c r="B1521" s="71" t="s">
        <v>3361</v>
      </c>
      <c r="C1521" s="2">
        <v>4058075552340</v>
      </c>
      <c r="D1521" s="84"/>
      <c r="E1521" s="85"/>
      <c r="F1521" s="17"/>
      <c r="G1521" s="156" t="str">
        <f>HYPERLINK("https://ledvance.com/pt/product-datasheet/145503/43166","Ficha Técnica")</f>
        <v>Ficha Técnica</v>
      </c>
      <c r="H1521" s="15">
        <v>1</v>
      </c>
      <c r="I1521" s="163">
        <v>8500</v>
      </c>
      <c r="J1521" s="15">
        <v>58</v>
      </c>
      <c r="K1521" s="163" t="s">
        <v>249</v>
      </c>
      <c r="L1521" s="15">
        <v>5</v>
      </c>
      <c r="M1521" s="188">
        <v>413.9</v>
      </c>
      <c r="N1521" s="169" t="s">
        <v>11</v>
      </c>
    </row>
    <row r="1522" spans="1:14" x14ac:dyDescent="0.25">
      <c r="A1522" s="63" t="s">
        <v>8</v>
      </c>
      <c r="B1522" s="71" t="s">
        <v>3362</v>
      </c>
      <c r="C1522" s="2">
        <v>4058075552357</v>
      </c>
      <c r="D1522" s="84"/>
      <c r="E1522" s="85"/>
      <c r="F1522" s="17"/>
      <c r="G1522" s="156" t="str">
        <f>HYPERLINK("https://ledvance.com/pt/product-datasheet/145503/43168","Ficha Técnica")</f>
        <v>Ficha Técnica</v>
      </c>
      <c r="H1522" s="15">
        <v>1</v>
      </c>
      <c r="I1522" s="163">
        <v>10550</v>
      </c>
      <c r="J1522" s="15">
        <v>80</v>
      </c>
      <c r="K1522" s="163" t="s">
        <v>249</v>
      </c>
      <c r="L1522" s="15">
        <v>5</v>
      </c>
      <c r="M1522" s="188">
        <v>460.7</v>
      </c>
      <c r="N1522" s="169" t="s">
        <v>11</v>
      </c>
    </row>
    <row r="1523" spans="1:14" x14ac:dyDescent="0.25">
      <c r="A1523" s="63" t="s">
        <v>8</v>
      </c>
      <c r="B1523" s="71" t="s">
        <v>3363</v>
      </c>
      <c r="C1523" s="2">
        <v>4058075552371</v>
      </c>
      <c r="D1523" s="84"/>
      <c r="E1523" s="85"/>
      <c r="F1523" s="17"/>
      <c r="G1523" s="156" t="str">
        <f>HYPERLINK("https://ledvance.com/pt/product-datasheet/145503/43077","Ficha Técnica")</f>
        <v>Ficha Técnica</v>
      </c>
      <c r="H1523" s="15">
        <v>1</v>
      </c>
      <c r="I1523" s="163">
        <v>11400</v>
      </c>
      <c r="J1523" s="15">
        <v>80</v>
      </c>
      <c r="K1523" s="163" t="s">
        <v>249</v>
      </c>
      <c r="L1523" s="15">
        <v>5</v>
      </c>
      <c r="M1523" s="188">
        <v>460.7</v>
      </c>
      <c r="N1523" s="169" t="s">
        <v>11</v>
      </c>
    </row>
    <row r="1524" spans="1:14" x14ac:dyDescent="0.25">
      <c r="A1524" s="63" t="s">
        <v>8</v>
      </c>
      <c r="B1524" s="71" t="s">
        <v>3364</v>
      </c>
      <c r="C1524" s="2">
        <v>4058075552395</v>
      </c>
      <c r="D1524" s="84"/>
      <c r="E1524" s="85"/>
      <c r="F1524" s="17"/>
      <c r="G1524" s="156" t="str">
        <f>HYPERLINK("https://ledvance.com/pt/product-datasheet/145503/43081","Ficha Técnica")</f>
        <v>Ficha Técnica</v>
      </c>
      <c r="H1524" s="15">
        <v>1</v>
      </c>
      <c r="I1524" s="163">
        <v>11650</v>
      </c>
      <c r="J1524" s="15">
        <v>80</v>
      </c>
      <c r="K1524" s="163" t="s">
        <v>249</v>
      </c>
      <c r="L1524" s="15">
        <v>5</v>
      </c>
      <c r="M1524" s="188">
        <v>460.7</v>
      </c>
      <c r="N1524" s="169" t="s">
        <v>11</v>
      </c>
    </row>
    <row r="1525" spans="1:14" x14ac:dyDescent="0.25">
      <c r="A1525" s="63" t="s">
        <v>8</v>
      </c>
      <c r="B1525" s="71" t="s">
        <v>3365</v>
      </c>
      <c r="C1525" s="2">
        <v>4058075552364</v>
      </c>
      <c r="D1525" s="84"/>
      <c r="E1525" s="85"/>
      <c r="F1525" s="17"/>
      <c r="G1525" s="156" t="str">
        <f>HYPERLINK("https://ledvance.com/pt/product-datasheet/145504/43170","Ficha Técnica")</f>
        <v>Ficha Técnica</v>
      </c>
      <c r="H1525" s="15">
        <v>1</v>
      </c>
      <c r="I1525" s="163">
        <v>10500</v>
      </c>
      <c r="J1525" s="15">
        <v>80</v>
      </c>
      <c r="K1525" s="163" t="s">
        <v>249</v>
      </c>
      <c r="L1525" s="15">
        <v>5</v>
      </c>
      <c r="M1525" s="188">
        <v>460.7</v>
      </c>
      <c r="N1525" s="169" t="s">
        <v>11</v>
      </c>
    </row>
    <row r="1526" spans="1:14" x14ac:dyDescent="0.25">
      <c r="A1526" s="63" t="s">
        <v>8</v>
      </c>
      <c r="B1526" s="71" t="s">
        <v>3366</v>
      </c>
      <c r="C1526" s="2">
        <v>4058075552388</v>
      </c>
      <c r="D1526" s="84"/>
      <c r="E1526" s="85"/>
      <c r="F1526" s="17"/>
      <c r="G1526" s="156" t="str">
        <f>HYPERLINK("https://ledvance.com/pt/product-datasheet/145504/43079","Ficha Técnica")</f>
        <v>Ficha Técnica</v>
      </c>
      <c r="H1526" s="15">
        <v>1</v>
      </c>
      <c r="I1526" s="163">
        <v>11300</v>
      </c>
      <c r="J1526" s="15">
        <v>80</v>
      </c>
      <c r="K1526" s="163" t="s">
        <v>249</v>
      </c>
      <c r="L1526" s="15">
        <v>5</v>
      </c>
      <c r="M1526" s="188">
        <v>460.7</v>
      </c>
      <c r="N1526" s="169" t="s">
        <v>11</v>
      </c>
    </row>
    <row r="1527" spans="1:14" x14ac:dyDescent="0.25">
      <c r="A1527" s="63" t="s">
        <v>8</v>
      </c>
      <c r="B1527" s="71" t="s">
        <v>3367</v>
      </c>
      <c r="C1527" s="2">
        <v>4058075552401</v>
      </c>
      <c r="D1527" s="84"/>
      <c r="E1527" s="85"/>
      <c r="F1527" s="17"/>
      <c r="G1527" s="156" t="str">
        <f>HYPERLINK("https://ledvance.com/pt/product-datasheet/145504/43083","Ficha Técnica")</f>
        <v>Ficha Técnica</v>
      </c>
      <c r="H1527" s="15">
        <v>1</v>
      </c>
      <c r="I1527" s="163">
        <v>11500</v>
      </c>
      <c r="J1527" s="15">
        <v>80</v>
      </c>
      <c r="K1527" s="163" t="s">
        <v>249</v>
      </c>
      <c r="L1527" s="15">
        <v>5</v>
      </c>
      <c r="M1527" s="188">
        <v>460.7</v>
      </c>
      <c r="N1527" s="169" t="s">
        <v>11</v>
      </c>
    </row>
    <row r="1528" spans="1:14" x14ac:dyDescent="0.25">
      <c r="A1528" s="63" t="s">
        <v>8</v>
      </c>
      <c r="B1528" s="71" t="s">
        <v>3368</v>
      </c>
      <c r="C1528" s="2">
        <v>4058075552418</v>
      </c>
      <c r="D1528" s="84"/>
      <c r="E1528" s="85"/>
      <c r="F1528" s="17"/>
      <c r="G1528" s="156" t="str">
        <f>HYPERLINK("https://ledvance.com/pt/product-datasheet/145506/43085","Ficha Técnica")</f>
        <v>Ficha Técnica</v>
      </c>
      <c r="H1528" s="15">
        <v>1</v>
      </c>
      <c r="I1528" s="163">
        <v>15250</v>
      </c>
      <c r="J1528" s="15">
        <v>110</v>
      </c>
      <c r="K1528" s="163" t="s">
        <v>249</v>
      </c>
      <c r="L1528" s="15">
        <v>5</v>
      </c>
      <c r="M1528" s="188">
        <v>543.9</v>
      </c>
      <c r="N1528" s="169" t="s">
        <v>11</v>
      </c>
    </row>
    <row r="1529" spans="1:14" x14ac:dyDescent="0.25">
      <c r="A1529" s="63" t="s">
        <v>8</v>
      </c>
      <c r="B1529" s="71" t="s">
        <v>3369</v>
      </c>
      <c r="C1529" s="2">
        <v>4058075552432</v>
      </c>
      <c r="D1529" s="84"/>
      <c r="E1529" s="85"/>
      <c r="F1529" s="17"/>
      <c r="G1529" s="156" t="str">
        <f>HYPERLINK("https://ledvance.com/pt/product-datasheet/145506/43089","Ficha Técnica")</f>
        <v>Ficha Técnica</v>
      </c>
      <c r="H1529" s="15">
        <v>1</v>
      </c>
      <c r="I1529" s="163">
        <v>16500</v>
      </c>
      <c r="J1529" s="15">
        <v>110</v>
      </c>
      <c r="K1529" s="163" t="s">
        <v>249</v>
      </c>
      <c r="L1529" s="15">
        <v>5</v>
      </c>
      <c r="M1529" s="188">
        <v>543.9</v>
      </c>
      <c r="N1529" s="169" t="s">
        <v>11</v>
      </c>
    </row>
    <row r="1530" spans="1:14" x14ac:dyDescent="0.25">
      <c r="A1530" s="63" t="s">
        <v>8</v>
      </c>
      <c r="B1530" s="71" t="s">
        <v>3370</v>
      </c>
      <c r="C1530" s="2">
        <v>4058075552456</v>
      </c>
      <c r="D1530" s="84"/>
      <c r="E1530" s="85"/>
      <c r="F1530" s="17"/>
      <c r="G1530" s="156" t="str">
        <f>HYPERLINK("https://ledvance.com/pt/product-datasheet/145506/43093","Ficha Técnica")</f>
        <v>Ficha Técnica</v>
      </c>
      <c r="H1530" s="15">
        <v>1</v>
      </c>
      <c r="I1530" s="163">
        <v>16800</v>
      </c>
      <c r="J1530" s="15">
        <v>110</v>
      </c>
      <c r="K1530" s="163" t="s">
        <v>249</v>
      </c>
      <c r="L1530" s="15">
        <v>5</v>
      </c>
      <c r="M1530" s="188">
        <v>543.9</v>
      </c>
      <c r="N1530" s="169" t="s">
        <v>11</v>
      </c>
    </row>
    <row r="1531" spans="1:14" x14ac:dyDescent="0.25">
      <c r="A1531" s="63" t="s">
        <v>8</v>
      </c>
      <c r="B1531" s="71" t="s">
        <v>3371</v>
      </c>
      <c r="C1531" s="2">
        <v>4058075552425</v>
      </c>
      <c r="D1531" s="84"/>
      <c r="E1531" s="85"/>
      <c r="F1531" s="17"/>
      <c r="G1531" s="156" t="str">
        <f>HYPERLINK("https://ledvance.com/pt/product-datasheet/145507/43087","Ficha Técnica")</f>
        <v>Ficha Técnica</v>
      </c>
      <c r="H1531" s="15">
        <v>1</v>
      </c>
      <c r="I1531" s="163">
        <v>15200</v>
      </c>
      <c r="J1531" s="15">
        <v>110</v>
      </c>
      <c r="K1531" s="163" t="s">
        <v>249</v>
      </c>
      <c r="L1531" s="15">
        <v>5</v>
      </c>
      <c r="M1531" s="188">
        <v>543.9</v>
      </c>
      <c r="N1531" s="169" t="s">
        <v>11</v>
      </c>
    </row>
    <row r="1532" spans="1:14" x14ac:dyDescent="0.25">
      <c r="A1532" s="63" t="s">
        <v>8</v>
      </c>
      <c r="B1532" s="71" t="s">
        <v>3372</v>
      </c>
      <c r="C1532" s="2">
        <v>4058075552449</v>
      </c>
      <c r="D1532" s="84"/>
      <c r="E1532" s="85"/>
      <c r="F1532" s="17"/>
      <c r="G1532" s="156" t="str">
        <f>HYPERLINK("https://ledvance.com/pt/product-datasheet/145507/43091","Ficha Técnica")</f>
        <v>Ficha Técnica</v>
      </c>
      <c r="H1532" s="15">
        <v>1</v>
      </c>
      <c r="I1532" s="163">
        <v>16350</v>
      </c>
      <c r="J1532" s="15">
        <v>110</v>
      </c>
      <c r="K1532" s="163" t="s">
        <v>249</v>
      </c>
      <c r="L1532" s="15">
        <v>5</v>
      </c>
      <c r="M1532" s="188">
        <v>543.9</v>
      </c>
      <c r="N1532" s="169" t="s">
        <v>11</v>
      </c>
    </row>
    <row r="1533" spans="1:14" x14ac:dyDescent="0.25">
      <c r="A1533" s="63" t="s">
        <v>8</v>
      </c>
      <c r="B1533" s="71" t="s">
        <v>3373</v>
      </c>
      <c r="C1533" s="2">
        <v>4058075552463</v>
      </c>
      <c r="D1533" s="84"/>
      <c r="E1533" s="85"/>
      <c r="F1533" s="17"/>
      <c r="G1533" s="156" t="str">
        <f>HYPERLINK("https://ledvance.com/pt/product-datasheet/145507/43095","Ficha Técnica")</f>
        <v>Ficha Técnica</v>
      </c>
      <c r="H1533" s="15">
        <v>1</v>
      </c>
      <c r="I1533" s="163">
        <v>16650</v>
      </c>
      <c r="J1533" s="15">
        <v>110</v>
      </c>
      <c r="K1533" s="163" t="s">
        <v>249</v>
      </c>
      <c r="L1533" s="15">
        <v>5</v>
      </c>
      <c r="M1533" s="188">
        <v>543.9</v>
      </c>
      <c r="N1533" s="169" t="s">
        <v>11</v>
      </c>
    </row>
    <row r="1534" spans="1:14" x14ac:dyDescent="0.25">
      <c r="A1534" s="63" t="s">
        <v>8</v>
      </c>
      <c r="B1534" s="71" t="s">
        <v>3374</v>
      </c>
      <c r="C1534" s="2">
        <v>4058075552470</v>
      </c>
      <c r="D1534" s="84"/>
      <c r="E1534" s="85"/>
      <c r="F1534" s="17"/>
      <c r="G1534" s="156" t="str">
        <f>HYPERLINK("https://ledvance.com/pt/product-datasheet/145506/43097","Ficha Técnica")</f>
        <v>Ficha Técnica</v>
      </c>
      <c r="H1534" s="15">
        <v>1</v>
      </c>
      <c r="I1534" s="163">
        <v>21150</v>
      </c>
      <c r="J1534" s="15">
        <v>158</v>
      </c>
      <c r="K1534" s="163" t="s">
        <v>249</v>
      </c>
      <c r="L1534" s="15">
        <v>5</v>
      </c>
      <c r="M1534" s="188">
        <v>703.8</v>
      </c>
      <c r="N1534" s="169" t="s">
        <v>11</v>
      </c>
    </row>
    <row r="1535" spans="1:14" x14ac:dyDescent="0.25">
      <c r="A1535" s="63" t="s">
        <v>8</v>
      </c>
      <c r="B1535" s="71" t="s">
        <v>3375</v>
      </c>
      <c r="C1535" s="2">
        <v>4058075552494</v>
      </c>
      <c r="D1535" s="84"/>
      <c r="E1535" s="85"/>
      <c r="F1535" s="17"/>
      <c r="G1535" s="156" t="str">
        <f>HYPERLINK("https://ledvance.com/pt/product-datasheet/145506/43101","Ficha Técnica")</f>
        <v>Ficha Técnica</v>
      </c>
      <c r="H1535" s="15">
        <v>1</v>
      </c>
      <c r="I1535" s="163">
        <v>23350</v>
      </c>
      <c r="J1535" s="15">
        <v>158</v>
      </c>
      <c r="K1535" s="163" t="s">
        <v>249</v>
      </c>
      <c r="L1535" s="15">
        <v>5</v>
      </c>
      <c r="M1535" s="188">
        <v>703.8</v>
      </c>
      <c r="N1535" s="169" t="s">
        <v>11</v>
      </c>
    </row>
    <row r="1536" spans="1:14" x14ac:dyDescent="0.25">
      <c r="A1536" s="63" t="s">
        <v>8</v>
      </c>
      <c r="B1536" s="71" t="s">
        <v>3376</v>
      </c>
      <c r="C1536" s="2">
        <v>4058075552517</v>
      </c>
      <c r="D1536" s="84"/>
      <c r="E1536" s="85"/>
      <c r="F1536" s="17"/>
      <c r="G1536" s="156" t="str">
        <f>HYPERLINK("https://ledvance.com/pt/product-datasheet/145506/43105","Ficha Técnica")</f>
        <v>Ficha Técnica</v>
      </c>
      <c r="H1536" s="15">
        <v>1</v>
      </c>
      <c r="I1536" s="163">
        <v>24450</v>
      </c>
      <c r="J1536" s="15">
        <v>158</v>
      </c>
      <c r="K1536" s="163" t="s">
        <v>249</v>
      </c>
      <c r="L1536" s="15">
        <v>5</v>
      </c>
      <c r="M1536" s="188">
        <v>703.8</v>
      </c>
      <c r="N1536" s="169" t="s">
        <v>11</v>
      </c>
    </row>
    <row r="1537" spans="1:14" x14ac:dyDescent="0.25">
      <c r="A1537" s="63" t="s">
        <v>8</v>
      </c>
      <c r="B1537" s="71" t="s">
        <v>3377</v>
      </c>
      <c r="C1537" s="2">
        <v>4058075552487</v>
      </c>
      <c r="D1537" s="84"/>
      <c r="E1537" s="85"/>
      <c r="F1537" s="17"/>
      <c r="G1537" s="156" t="str">
        <f>HYPERLINK("https://ledvance.com/pt/product-datasheet/145507/43099","Ficha Técnica")</f>
        <v>Ficha Técnica</v>
      </c>
      <c r="H1537" s="15">
        <v>1</v>
      </c>
      <c r="I1537" s="163">
        <v>21000</v>
      </c>
      <c r="J1537" s="15">
        <v>158</v>
      </c>
      <c r="K1537" s="163" t="s">
        <v>249</v>
      </c>
      <c r="L1537" s="15">
        <v>5</v>
      </c>
      <c r="M1537" s="188">
        <v>703.8</v>
      </c>
      <c r="N1537" s="169" t="s">
        <v>11</v>
      </c>
    </row>
    <row r="1538" spans="1:14" x14ac:dyDescent="0.25">
      <c r="A1538" s="63" t="s">
        <v>8</v>
      </c>
      <c r="B1538" s="71" t="s">
        <v>3378</v>
      </c>
      <c r="C1538" s="2">
        <v>4058075552500</v>
      </c>
      <c r="D1538" s="84"/>
      <c r="E1538" s="85"/>
      <c r="F1538" s="17"/>
      <c r="G1538" s="156" t="str">
        <f>HYPERLINK("https://ledvance.com/pt/product-datasheet/145507/43103","Ficha Técnica")</f>
        <v>Ficha Técnica</v>
      </c>
      <c r="H1538" s="15">
        <v>1</v>
      </c>
      <c r="I1538" s="163">
        <v>23200</v>
      </c>
      <c r="J1538" s="15">
        <v>158</v>
      </c>
      <c r="K1538" s="163" t="s">
        <v>249</v>
      </c>
      <c r="L1538" s="15">
        <v>5</v>
      </c>
      <c r="M1538" s="188">
        <v>703.8</v>
      </c>
      <c r="N1538" s="169" t="s">
        <v>11</v>
      </c>
    </row>
    <row r="1539" spans="1:14" x14ac:dyDescent="0.25">
      <c r="A1539" s="63" t="s">
        <v>8</v>
      </c>
      <c r="B1539" s="71" t="s">
        <v>3379</v>
      </c>
      <c r="C1539" s="2">
        <v>4058075552524</v>
      </c>
      <c r="D1539" s="84"/>
      <c r="E1539" s="85"/>
      <c r="F1539" s="17"/>
      <c r="G1539" s="156" t="str">
        <f>HYPERLINK("https://ledvance.com/pt/product-datasheet/145507/43107","Ficha Técnica")</f>
        <v>Ficha Técnica</v>
      </c>
      <c r="H1539" s="15">
        <v>1</v>
      </c>
      <c r="I1539" s="163">
        <v>23900</v>
      </c>
      <c r="J1539" s="15">
        <v>158</v>
      </c>
      <c r="K1539" s="163" t="s">
        <v>249</v>
      </c>
      <c r="L1539" s="15">
        <v>5</v>
      </c>
      <c r="M1539" s="188">
        <v>703.8</v>
      </c>
      <c r="N1539" s="169" t="s">
        <v>11</v>
      </c>
    </row>
    <row r="1540" spans="1:14" x14ac:dyDescent="0.25">
      <c r="A1540" s="66" t="s">
        <v>40</v>
      </c>
      <c r="B1540" s="69" t="s">
        <v>289</v>
      </c>
      <c r="C1540" s="51"/>
      <c r="D1540" s="120"/>
      <c r="E1540" s="121"/>
      <c r="F1540" s="12"/>
      <c r="G1540" s="157"/>
      <c r="H1540" s="12"/>
      <c r="I1540" s="62"/>
      <c r="J1540" s="27"/>
      <c r="K1540" s="62"/>
      <c r="L1540" s="12"/>
      <c r="M1540" s="191"/>
      <c r="N1540" s="65"/>
    </row>
    <row r="1541" spans="1:14" x14ac:dyDescent="0.25">
      <c r="A1541" s="63" t="s">
        <v>40</v>
      </c>
      <c r="B1541" s="71" t="s">
        <v>290</v>
      </c>
      <c r="C1541" s="2">
        <v>4058075552531</v>
      </c>
      <c r="D1541" s="84"/>
      <c r="E1541" s="85"/>
      <c r="F1541" s="17"/>
      <c r="G1541" s="156" t="str">
        <f>HYPERLINK("https://ledvance.com/pt/product-datasheet/145509/43109","Ficha Técnica")</f>
        <v>Ficha Técnica</v>
      </c>
      <c r="H1541" s="15">
        <v>4</v>
      </c>
      <c r="I1541" s="163"/>
      <c r="J1541" s="15"/>
      <c r="K1541" s="163"/>
      <c r="L1541" s="15">
        <v>5</v>
      </c>
      <c r="M1541" s="188">
        <v>26.6</v>
      </c>
      <c r="N1541" s="169" t="s">
        <v>11</v>
      </c>
    </row>
    <row r="1542" spans="1:14" ht="10.5" customHeight="1" x14ac:dyDescent="0.25">
      <c r="A1542" s="63" t="s">
        <v>40</v>
      </c>
      <c r="B1542" s="71" t="s">
        <v>291</v>
      </c>
      <c r="C1542" s="2">
        <v>4058075552579</v>
      </c>
      <c r="D1542" s="84"/>
      <c r="E1542" s="85"/>
      <c r="F1542" s="17"/>
      <c r="G1542" s="156" t="str">
        <f>HYPERLINK("https://ledvance.com/pt/product-datasheet/145510/43112","Ficha Técnica")</f>
        <v>Ficha Técnica</v>
      </c>
      <c r="H1542" s="15">
        <v>8</v>
      </c>
      <c r="I1542" s="163"/>
      <c r="J1542" s="15"/>
      <c r="K1542" s="163"/>
      <c r="L1542" s="15">
        <v>5</v>
      </c>
      <c r="M1542" s="188">
        <v>15.1</v>
      </c>
      <c r="N1542" s="169" t="s">
        <v>11</v>
      </c>
    </row>
    <row r="1543" spans="1:14" x14ac:dyDescent="0.25">
      <c r="A1543" s="66" t="s">
        <v>8</v>
      </c>
      <c r="B1543" s="69" t="s">
        <v>2175</v>
      </c>
      <c r="C1543" s="51"/>
      <c r="D1543" s="120"/>
      <c r="E1543" s="121"/>
      <c r="F1543" s="12"/>
      <c r="G1543" s="157"/>
      <c r="H1543" s="12"/>
      <c r="I1543" s="62"/>
      <c r="J1543" s="27"/>
      <c r="K1543" s="62"/>
      <c r="L1543" s="12"/>
      <c r="M1543" s="191"/>
      <c r="N1543" s="65"/>
    </row>
    <row r="1544" spans="1:14" x14ac:dyDescent="0.25">
      <c r="A1544" s="63" t="s">
        <v>8</v>
      </c>
      <c r="B1544" s="77" t="s">
        <v>3380</v>
      </c>
      <c r="C1544" s="2">
        <v>4099854030277</v>
      </c>
      <c r="D1544" s="95">
        <v>4058075725256</v>
      </c>
      <c r="E1544" s="102" t="s">
        <v>3381</v>
      </c>
      <c r="F1544" s="17"/>
      <c r="G1544" s="156" t="str">
        <f>HYPERLINK("https://ledvance.com/pt/product-datasheet/207683/230383","Ficha Técnica")</f>
        <v>Ficha Técnica</v>
      </c>
      <c r="H1544" s="15">
        <v>4</v>
      </c>
      <c r="I1544" s="163">
        <v>3900</v>
      </c>
      <c r="J1544" s="15">
        <v>30</v>
      </c>
      <c r="K1544" s="163" t="s">
        <v>249</v>
      </c>
      <c r="L1544" s="15">
        <v>5</v>
      </c>
      <c r="M1544" s="188">
        <v>88.2</v>
      </c>
      <c r="N1544" s="169" t="s">
        <v>11</v>
      </c>
    </row>
    <row r="1545" spans="1:14" x14ac:dyDescent="0.25">
      <c r="A1545" s="63" t="s">
        <v>8</v>
      </c>
      <c r="B1545" s="77" t="s">
        <v>3382</v>
      </c>
      <c r="C1545" s="2">
        <v>4099854030291</v>
      </c>
      <c r="D1545" s="95">
        <v>4058075725270</v>
      </c>
      <c r="E1545" s="102" t="s">
        <v>3383</v>
      </c>
      <c r="F1545" s="17"/>
      <c r="G1545" s="156" t="str">
        <f>HYPERLINK("https://ledvance.com/pt/product-datasheet/207683/230386","Ficha Técnica")</f>
        <v>Ficha Técnica</v>
      </c>
      <c r="H1545" s="15">
        <v>4</v>
      </c>
      <c r="I1545" s="163">
        <v>3900</v>
      </c>
      <c r="J1545" s="15">
        <v>30</v>
      </c>
      <c r="K1545" s="163" t="s">
        <v>249</v>
      </c>
      <c r="L1545" s="15">
        <v>5</v>
      </c>
      <c r="M1545" s="188">
        <v>88.2</v>
      </c>
      <c r="N1545" s="169" t="s">
        <v>11</v>
      </c>
    </row>
    <row r="1546" spans="1:14" x14ac:dyDescent="0.25">
      <c r="A1546" s="63" t="s">
        <v>8</v>
      </c>
      <c r="B1546" s="77" t="s">
        <v>292</v>
      </c>
      <c r="C1546" s="2">
        <v>4099854030314</v>
      </c>
      <c r="D1546" s="95">
        <v>4058075725294</v>
      </c>
      <c r="E1546" s="102" t="s">
        <v>3384</v>
      </c>
      <c r="F1546" s="17"/>
      <c r="G1546" s="156" t="str">
        <f>HYPERLINK("https://ledvance.com/pt/product-datasheet/207683/230389","Ficha Técnica")</f>
        <v>Ficha Técnica</v>
      </c>
      <c r="H1546" s="15">
        <v>4</v>
      </c>
      <c r="I1546" s="163">
        <v>4050</v>
      </c>
      <c r="J1546" s="15">
        <v>30</v>
      </c>
      <c r="K1546" s="163" t="s">
        <v>249</v>
      </c>
      <c r="L1546" s="15">
        <v>5</v>
      </c>
      <c r="M1546" s="188">
        <v>88.2</v>
      </c>
      <c r="N1546" s="169" t="s">
        <v>11</v>
      </c>
    </row>
    <row r="1547" spans="1:14" x14ac:dyDescent="0.25">
      <c r="A1547" s="63" t="s">
        <v>8</v>
      </c>
      <c r="B1547" s="77" t="s">
        <v>3385</v>
      </c>
      <c r="C1547" s="2">
        <v>4099854030338</v>
      </c>
      <c r="D1547" s="95">
        <v>4058075725317</v>
      </c>
      <c r="E1547" s="102" t="s">
        <v>3385</v>
      </c>
      <c r="F1547" s="17"/>
      <c r="G1547" s="156" t="str">
        <f>HYPERLINK("https://ledvance.com/pt/product-datasheet/207683/230392","Ficha Técnica")</f>
        <v>Ficha Técnica</v>
      </c>
      <c r="H1547" s="15">
        <v>4</v>
      </c>
      <c r="I1547" s="163">
        <v>4050</v>
      </c>
      <c r="J1547" s="15">
        <v>30</v>
      </c>
      <c r="K1547" s="163" t="s">
        <v>249</v>
      </c>
      <c r="L1547" s="15">
        <v>5</v>
      </c>
      <c r="M1547" s="188">
        <v>88.2</v>
      </c>
      <c r="N1547" s="169" t="s">
        <v>11</v>
      </c>
    </row>
    <row r="1548" spans="1:14" x14ac:dyDescent="0.25">
      <c r="A1548" s="63" t="s">
        <v>8</v>
      </c>
      <c r="B1548" s="77" t="s">
        <v>3386</v>
      </c>
      <c r="C1548" s="2">
        <v>4099854030352</v>
      </c>
      <c r="D1548" s="95">
        <v>4058075725331</v>
      </c>
      <c r="E1548" s="102" t="s">
        <v>3387</v>
      </c>
      <c r="F1548" s="17"/>
      <c r="G1548" s="156" t="str">
        <f>HYPERLINK("https://ledvance.com/pt/product-datasheet/207683/230395","Ficha Técnica")</f>
        <v>Ficha Técnica</v>
      </c>
      <c r="H1548" s="15">
        <v>4</v>
      </c>
      <c r="I1548" s="163">
        <v>5850</v>
      </c>
      <c r="J1548" s="15">
        <v>45</v>
      </c>
      <c r="K1548" s="163" t="s">
        <v>249</v>
      </c>
      <c r="L1548" s="15">
        <v>5</v>
      </c>
      <c r="M1548" s="188">
        <v>98.7</v>
      </c>
      <c r="N1548" s="169" t="s">
        <v>11</v>
      </c>
    </row>
    <row r="1549" spans="1:14" x14ac:dyDescent="0.25">
      <c r="A1549" s="63" t="s">
        <v>8</v>
      </c>
      <c r="B1549" s="77" t="s">
        <v>3388</v>
      </c>
      <c r="C1549" s="2">
        <v>4099854030376</v>
      </c>
      <c r="D1549" s="95">
        <v>4058075725355</v>
      </c>
      <c r="E1549" s="102" t="s">
        <v>3389</v>
      </c>
      <c r="F1549" s="17"/>
      <c r="G1549" s="156" t="str">
        <f>HYPERLINK("https://ledvance.com/pt/product-datasheet/207683/230398","Ficha Técnica")</f>
        <v>Ficha Técnica</v>
      </c>
      <c r="H1549" s="15">
        <v>4</v>
      </c>
      <c r="I1549" s="163">
        <v>5850</v>
      </c>
      <c r="J1549" s="15">
        <v>45</v>
      </c>
      <c r="K1549" s="163" t="s">
        <v>249</v>
      </c>
      <c r="L1549" s="15">
        <v>5</v>
      </c>
      <c r="M1549" s="188">
        <v>98.7</v>
      </c>
      <c r="N1549" s="169" t="s">
        <v>11</v>
      </c>
    </row>
    <row r="1550" spans="1:14" x14ac:dyDescent="0.25">
      <c r="A1550" s="63" t="s">
        <v>8</v>
      </c>
      <c r="B1550" s="77" t="s">
        <v>3390</v>
      </c>
      <c r="C1550" s="2">
        <v>4099854030390</v>
      </c>
      <c r="D1550" s="95">
        <v>4058075725379</v>
      </c>
      <c r="E1550" s="102" t="s">
        <v>3391</v>
      </c>
      <c r="F1550" s="17"/>
      <c r="G1550" s="156" t="str">
        <f>HYPERLINK("https://ledvance.com/pt/product-datasheet/207683/230401","Ficha Técnica")</f>
        <v>Ficha Técnica</v>
      </c>
      <c r="H1550" s="15">
        <v>4</v>
      </c>
      <c r="I1550" s="163">
        <v>6075</v>
      </c>
      <c r="J1550" s="15">
        <v>45</v>
      </c>
      <c r="K1550" s="163" t="s">
        <v>249</v>
      </c>
      <c r="L1550" s="15">
        <v>5</v>
      </c>
      <c r="M1550" s="188">
        <v>98.7</v>
      </c>
      <c r="N1550" s="169" t="s">
        <v>11</v>
      </c>
    </row>
    <row r="1551" spans="1:14" x14ac:dyDescent="0.25">
      <c r="A1551" s="63" t="s">
        <v>8</v>
      </c>
      <c r="B1551" s="71" t="s">
        <v>3392</v>
      </c>
      <c r="C1551" s="2">
        <v>4099854030413</v>
      </c>
      <c r="D1551" s="95">
        <v>4058075725393</v>
      </c>
      <c r="E1551" s="102" t="s">
        <v>3392</v>
      </c>
      <c r="F1551" s="17"/>
      <c r="G1551" s="156" t="str">
        <f>HYPERLINK("https://ledvance.com/pt/product-datasheet/207683/230404","Ficha Técnica")</f>
        <v>Ficha Técnica</v>
      </c>
      <c r="H1551" s="15">
        <v>4</v>
      </c>
      <c r="I1551" s="163">
        <v>6075</v>
      </c>
      <c r="J1551" s="15">
        <v>45</v>
      </c>
      <c r="K1551" s="163" t="s">
        <v>249</v>
      </c>
      <c r="L1551" s="15">
        <v>5</v>
      </c>
      <c r="M1551" s="188">
        <v>98.7</v>
      </c>
      <c r="N1551" s="169" t="s">
        <v>11</v>
      </c>
    </row>
    <row r="1552" spans="1:14" x14ac:dyDescent="0.25">
      <c r="A1552" s="63" t="s">
        <v>8</v>
      </c>
      <c r="B1552" s="77" t="s">
        <v>3393</v>
      </c>
      <c r="C1552" s="2">
        <v>4099854030437</v>
      </c>
      <c r="D1552" s="95">
        <v>4058075725416</v>
      </c>
      <c r="E1552" s="102" t="s">
        <v>3394</v>
      </c>
      <c r="F1552" s="17"/>
      <c r="G1552" s="156" t="str">
        <f>HYPERLINK("https://ledvance.com/pt/product-datasheet/208169/230407","Ficha Técnica")</f>
        <v>Ficha Técnica</v>
      </c>
      <c r="H1552" s="15">
        <v>4</v>
      </c>
      <c r="I1552" s="163">
        <v>8450</v>
      </c>
      <c r="J1552" s="15">
        <v>65</v>
      </c>
      <c r="K1552" s="163" t="s">
        <v>249</v>
      </c>
      <c r="L1552" s="15">
        <v>5</v>
      </c>
      <c r="M1552" s="188">
        <v>137.30000000000001</v>
      </c>
      <c r="N1552" s="169" t="s">
        <v>11</v>
      </c>
    </row>
    <row r="1553" spans="1:14" x14ac:dyDescent="0.25">
      <c r="A1553" s="63" t="s">
        <v>8</v>
      </c>
      <c r="B1553" s="77" t="s">
        <v>3395</v>
      </c>
      <c r="C1553" s="2">
        <v>4099854030451</v>
      </c>
      <c r="D1553" s="95">
        <v>4058075725430</v>
      </c>
      <c r="E1553" s="102" t="s">
        <v>3396</v>
      </c>
      <c r="F1553" s="17"/>
      <c r="G1553" s="156" t="str">
        <f>HYPERLINK("https://ledvance.com/pt/product-datasheet/208169/230410","Ficha Técnica")</f>
        <v>Ficha Técnica</v>
      </c>
      <c r="H1553" s="15">
        <v>4</v>
      </c>
      <c r="I1553" s="163">
        <v>8450</v>
      </c>
      <c r="J1553" s="15">
        <v>65</v>
      </c>
      <c r="K1553" s="163" t="s">
        <v>249</v>
      </c>
      <c r="L1553" s="15">
        <v>5</v>
      </c>
      <c r="M1553" s="188">
        <v>137.30000000000001</v>
      </c>
      <c r="N1553" s="169" t="s">
        <v>11</v>
      </c>
    </row>
    <row r="1554" spans="1:14" x14ac:dyDescent="0.25">
      <c r="A1554" s="63" t="s">
        <v>8</v>
      </c>
      <c r="B1554" s="77" t="s">
        <v>3397</v>
      </c>
      <c r="C1554" s="2">
        <v>4099854030475</v>
      </c>
      <c r="D1554" s="95">
        <v>4058075725454</v>
      </c>
      <c r="E1554" s="102" t="s">
        <v>3398</v>
      </c>
      <c r="F1554" s="17"/>
      <c r="G1554" s="156" t="str">
        <f>HYPERLINK("https://ledvance.com/pt/product-datasheet/208169/230413","Ficha Técnica")</f>
        <v>Ficha Técnica</v>
      </c>
      <c r="H1554" s="15">
        <v>4</v>
      </c>
      <c r="I1554" s="163">
        <v>8775</v>
      </c>
      <c r="J1554" s="15">
        <v>65</v>
      </c>
      <c r="K1554" s="163" t="s">
        <v>249</v>
      </c>
      <c r="L1554" s="15">
        <v>5</v>
      </c>
      <c r="M1554" s="188">
        <v>137.30000000000001</v>
      </c>
      <c r="N1554" s="169" t="s">
        <v>11</v>
      </c>
    </row>
    <row r="1555" spans="1:14" x14ac:dyDescent="0.25">
      <c r="A1555" s="63" t="s">
        <v>8</v>
      </c>
      <c r="B1555" s="77" t="s">
        <v>3399</v>
      </c>
      <c r="C1555" s="2">
        <v>4099854030499</v>
      </c>
      <c r="D1555" s="95">
        <v>4058075725478</v>
      </c>
      <c r="E1555" s="102" t="s">
        <v>3399</v>
      </c>
      <c r="F1555" s="17"/>
      <c r="G1555" s="156" t="str">
        <f>HYPERLINK("https://ledvance.com/pt/product-datasheet/208169/230416","Ficha Técnica")</f>
        <v>Ficha Técnica</v>
      </c>
      <c r="H1555" s="15">
        <v>4</v>
      </c>
      <c r="I1555" s="163">
        <v>8775</v>
      </c>
      <c r="J1555" s="15">
        <v>65</v>
      </c>
      <c r="K1555" s="163" t="s">
        <v>249</v>
      </c>
      <c r="L1555" s="15">
        <v>5</v>
      </c>
      <c r="M1555" s="188">
        <v>137.30000000000001</v>
      </c>
      <c r="N1555" s="169" t="s">
        <v>11</v>
      </c>
    </row>
    <row r="1556" spans="1:14" x14ac:dyDescent="0.25">
      <c r="A1556" s="63" t="s">
        <v>8</v>
      </c>
      <c r="B1556" s="77" t="s">
        <v>3400</v>
      </c>
      <c r="C1556" s="2">
        <v>4099854079801</v>
      </c>
      <c r="D1556" s="103"/>
      <c r="E1556" s="104"/>
      <c r="F1556" s="17"/>
      <c r="G1556" s="156" t="str">
        <f>HYPERLINK("https://ledvance.com/pt/product-datasheet/262125/242303","Ficha Técnica")</f>
        <v>Ficha Técnica</v>
      </c>
      <c r="H1556" s="15">
        <v>2</v>
      </c>
      <c r="I1556" s="163">
        <v>11700</v>
      </c>
      <c r="J1556" s="15">
        <v>90</v>
      </c>
      <c r="K1556" s="163" t="s">
        <v>249</v>
      </c>
      <c r="L1556" s="15">
        <v>5</v>
      </c>
      <c r="M1556" s="188">
        <v>229</v>
      </c>
      <c r="N1556" s="169" t="s">
        <v>11</v>
      </c>
    </row>
    <row r="1557" spans="1:14" x14ac:dyDescent="0.25">
      <c r="A1557" s="63" t="s">
        <v>8</v>
      </c>
      <c r="B1557" s="77" t="s">
        <v>3401</v>
      </c>
      <c r="C1557" s="2">
        <v>4099854079825</v>
      </c>
      <c r="D1557" s="103"/>
      <c r="E1557" s="104"/>
      <c r="F1557" s="17"/>
      <c r="G1557" s="156" t="str">
        <f>HYPERLINK("https://ledvance.com/pt/product-datasheet/262125/242306","Ficha Técnica")</f>
        <v>Ficha Técnica</v>
      </c>
      <c r="H1557" s="15">
        <v>2</v>
      </c>
      <c r="I1557" s="163">
        <v>11700</v>
      </c>
      <c r="J1557" s="15">
        <v>90</v>
      </c>
      <c r="K1557" s="163" t="s">
        <v>249</v>
      </c>
      <c r="L1557" s="15">
        <v>5</v>
      </c>
      <c r="M1557" s="188">
        <v>229</v>
      </c>
      <c r="N1557" s="169" t="s">
        <v>11</v>
      </c>
    </row>
    <row r="1558" spans="1:14" x14ac:dyDescent="0.25">
      <c r="A1558" s="63" t="s">
        <v>8</v>
      </c>
      <c r="B1558" s="77" t="s">
        <v>3402</v>
      </c>
      <c r="C1558" s="2">
        <v>4099854079849</v>
      </c>
      <c r="D1558" s="103"/>
      <c r="E1558" s="104"/>
      <c r="F1558" s="17"/>
      <c r="G1558" s="156" t="str">
        <f>HYPERLINK("https://ledvance.com/pt/product-datasheet/262125/242309","Ficha Técnica")</f>
        <v>Ficha Técnica</v>
      </c>
      <c r="H1558" s="15">
        <v>2</v>
      </c>
      <c r="I1558" s="163">
        <v>12150</v>
      </c>
      <c r="J1558" s="15">
        <v>90</v>
      </c>
      <c r="K1558" s="163" t="s">
        <v>249</v>
      </c>
      <c r="L1558" s="15">
        <v>5</v>
      </c>
      <c r="M1558" s="188">
        <v>229</v>
      </c>
      <c r="N1558" s="169" t="s">
        <v>11</v>
      </c>
    </row>
    <row r="1559" spans="1:14" x14ac:dyDescent="0.25">
      <c r="A1559" s="63" t="s">
        <v>8</v>
      </c>
      <c r="B1559" s="77" t="s">
        <v>3403</v>
      </c>
      <c r="C1559" s="2">
        <v>4099854079863</v>
      </c>
      <c r="D1559" s="103"/>
      <c r="E1559" s="104"/>
      <c r="F1559" s="17"/>
      <c r="G1559" s="156" t="str">
        <f>HYPERLINK("https://ledvance.com/pt/product-datasheet/262125/242312","Ficha Técnica")</f>
        <v>Ficha Técnica</v>
      </c>
      <c r="H1559" s="15">
        <v>2</v>
      </c>
      <c r="I1559" s="163">
        <v>12150</v>
      </c>
      <c r="J1559" s="15">
        <v>90</v>
      </c>
      <c r="K1559" s="163" t="s">
        <v>249</v>
      </c>
      <c r="L1559" s="15">
        <v>5</v>
      </c>
      <c r="M1559" s="188">
        <v>229</v>
      </c>
      <c r="N1559" s="169" t="s">
        <v>11</v>
      </c>
    </row>
    <row r="1560" spans="1:14" x14ac:dyDescent="0.25">
      <c r="A1560" s="63" t="s">
        <v>8</v>
      </c>
      <c r="B1560" s="77" t="s">
        <v>293</v>
      </c>
      <c r="C1560" s="2">
        <v>4099854079887</v>
      </c>
      <c r="D1560" s="103"/>
      <c r="E1560" s="104"/>
      <c r="F1560" s="17"/>
      <c r="G1560" s="156" t="str">
        <f>HYPERLINK("https://ledvance.com/pt/product-datasheet/262125/242315","Ficha Técnica")</f>
        <v>Ficha Técnica</v>
      </c>
      <c r="H1560" s="15">
        <v>2</v>
      </c>
      <c r="I1560" s="163">
        <v>15600</v>
      </c>
      <c r="J1560" s="15">
        <v>120</v>
      </c>
      <c r="K1560" s="163" t="s">
        <v>249</v>
      </c>
      <c r="L1560" s="15">
        <v>5</v>
      </c>
      <c r="M1560" s="188">
        <v>278.2</v>
      </c>
      <c r="N1560" s="169" t="s">
        <v>11</v>
      </c>
    </row>
    <row r="1561" spans="1:14" x14ac:dyDescent="0.25">
      <c r="A1561" s="63" t="s">
        <v>8</v>
      </c>
      <c r="B1561" s="77" t="s">
        <v>294</v>
      </c>
      <c r="C1561" s="2">
        <v>4099854079900</v>
      </c>
      <c r="D1561" s="103"/>
      <c r="E1561" s="104"/>
      <c r="F1561" s="17"/>
      <c r="G1561" s="156" t="str">
        <f>HYPERLINK("https://ledvance.com/pt/product-datasheet/262125/242318","Ficha Técnica")</f>
        <v>Ficha Técnica</v>
      </c>
      <c r="H1561" s="15">
        <v>2</v>
      </c>
      <c r="I1561" s="163">
        <v>15600</v>
      </c>
      <c r="J1561" s="15">
        <v>120</v>
      </c>
      <c r="K1561" s="163" t="s">
        <v>249</v>
      </c>
      <c r="L1561" s="15">
        <v>5</v>
      </c>
      <c r="M1561" s="188">
        <v>278.2</v>
      </c>
      <c r="N1561" s="169" t="s">
        <v>11</v>
      </c>
    </row>
    <row r="1562" spans="1:14" x14ac:dyDescent="0.25">
      <c r="A1562" s="63" t="s">
        <v>8</v>
      </c>
      <c r="B1562" s="77" t="s">
        <v>295</v>
      </c>
      <c r="C1562" s="2">
        <v>4099854079924</v>
      </c>
      <c r="D1562" s="103"/>
      <c r="E1562" s="104"/>
      <c r="F1562" s="17"/>
      <c r="G1562" s="156" t="str">
        <f>HYPERLINK("https://ledvance.com/pt/product-datasheet/262125/242321","Ficha Técnica")</f>
        <v>Ficha Técnica</v>
      </c>
      <c r="H1562" s="15">
        <v>2</v>
      </c>
      <c r="I1562" s="163">
        <v>16200</v>
      </c>
      <c r="J1562" s="15">
        <v>120</v>
      </c>
      <c r="K1562" s="163" t="s">
        <v>249</v>
      </c>
      <c r="L1562" s="15">
        <v>5</v>
      </c>
      <c r="M1562" s="188">
        <v>278.2</v>
      </c>
      <c r="N1562" s="169" t="s">
        <v>11</v>
      </c>
    </row>
    <row r="1563" spans="1:14" x14ac:dyDescent="0.25">
      <c r="A1563" s="63" t="s">
        <v>8</v>
      </c>
      <c r="B1563" s="77" t="s">
        <v>296</v>
      </c>
      <c r="C1563" s="2">
        <v>4099854079948</v>
      </c>
      <c r="D1563" s="103"/>
      <c r="E1563" s="104"/>
      <c r="F1563" s="17"/>
      <c r="G1563" s="156" t="str">
        <f>HYPERLINK("https://ledvance.com/pt/product-datasheet/262125/242324","Ficha Técnica")</f>
        <v>Ficha Técnica</v>
      </c>
      <c r="H1563" s="15">
        <v>2</v>
      </c>
      <c r="I1563" s="163">
        <v>16200</v>
      </c>
      <c r="J1563" s="15">
        <v>120</v>
      </c>
      <c r="K1563" s="163" t="s">
        <v>249</v>
      </c>
      <c r="L1563" s="15">
        <v>5</v>
      </c>
      <c r="M1563" s="188">
        <v>278.2</v>
      </c>
      <c r="N1563" s="169" t="s">
        <v>11</v>
      </c>
    </row>
    <row r="1564" spans="1:14" x14ac:dyDescent="0.25">
      <c r="A1564" s="63" t="s">
        <v>8</v>
      </c>
      <c r="B1564" s="77" t="s">
        <v>297</v>
      </c>
      <c r="C1564" s="2">
        <v>4099854079962</v>
      </c>
      <c r="D1564" s="103"/>
      <c r="E1564" s="104"/>
      <c r="F1564" s="17"/>
      <c r="G1564" s="156" t="str">
        <f>HYPERLINK("https://ledvance.com/pt/product-datasheet/262126/242327","Ficha Técnica")</f>
        <v>Ficha Técnica</v>
      </c>
      <c r="H1564" s="15">
        <v>2</v>
      </c>
      <c r="I1564" s="163">
        <v>19500</v>
      </c>
      <c r="J1564" s="15">
        <v>150</v>
      </c>
      <c r="K1564" s="163" t="s">
        <v>249</v>
      </c>
      <c r="L1564" s="15">
        <v>5</v>
      </c>
      <c r="M1564" s="188">
        <v>334.4</v>
      </c>
      <c r="N1564" s="169" t="s">
        <v>11</v>
      </c>
    </row>
    <row r="1565" spans="1:14" x14ac:dyDescent="0.25">
      <c r="A1565" s="63" t="s">
        <v>8</v>
      </c>
      <c r="B1565" s="77" t="s">
        <v>298</v>
      </c>
      <c r="C1565" s="2">
        <v>4099854079986</v>
      </c>
      <c r="D1565" s="103"/>
      <c r="E1565" s="104"/>
      <c r="F1565" s="17"/>
      <c r="G1565" s="156" t="str">
        <f>HYPERLINK("https://ledvance.com/pt/product-datasheet/262126/242330","Ficha Técnica")</f>
        <v>Ficha Técnica</v>
      </c>
      <c r="H1565" s="15">
        <v>2</v>
      </c>
      <c r="I1565" s="163">
        <v>19500</v>
      </c>
      <c r="J1565" s="15">
        <v>150</v>
      </c>
      <c r="K1565" s="163" t="s">
        <v>249</v>
      </c>
      <c r="L1565" s="15">
        <v>5</v>
      </c>
      <c r="M1565" s="188">
        <v>334.4</v>
      </c>
      <c r="N1565" s="169" t="s">
        <v>11</v>
      </c>
    </row>
    <row r="1566" spans="1:14" x14ac:dyDescent="0.25">
      <c r="A1566" s="63" t="s">
        <v>8</v>
      </c>
      <c r="B1566" s="77" t="s">
        <v>299</v>
      </c>
      <c r="C1566" s="2">
        <v>4099854080012</v>
      </c>
      <c r="D1566" s="103"/>
      <c r="E1566" s="104"/>
      <c r="F1566" s="17"/>
      <c r="G1566" s="156" t="str">
        <f>HYPERLINK("https://ledvance.com/pt/product-datasheet/262126/242333","Ficha Técnica")</f>
        <v>Ficha Técnica</v>
      </c>
      <c r="H1566" s="15">
        <v>2</v>
      </c>
      <c r="I1566" s="163">
        <v>20250</v>
      </c>
      <c r="J1566" s="15">
        <v>150</v>
      </c>
      <c r="K1566" s="163" t="s">
        <v>249</v>
      </c>
      <c r="L1566" s="15">
        <v>5</v>
      </c>
      <c r="M1566" s="188">
        <v>334.4</v>
      </c>
      <c r="N1566" s="169" t="s">
        <v>11</v>
      </c>
    </row>
    <row r="1567" spans="1:14" x14ac:dyDescent="0.25">
      <c r="A1567" s="63" t="s">
        <v>8</v>
      </c>
      <c r="B1567" s="77" t="s">
        <v>300</v>
      </c>
      <c r="C1567" s="2">
        <v>4099854080036</v>
      </c>
      <c r="D1567" s="103"/>
      <c r="E1567" s="104"/>
      <c r="F1567" s="17"/>
      <c r="G1567" s="156" t="str">
        <f>HYPERLINK("https://ledvance.com/pt/product-datasheet/262126/242336","Ficha Técnica")</f>
        <v>Ficha Técnica</v>
      </c>
      <c r="H1567" s="15">
        <v>2</v>
      </c>
      <c r="I1567" s="163">
        <v>20250</v>
      </c>
      <c r="J1567" s="15">
        <v>150</v>
      </c>
      <c r="K1567" s="163" t="s">
        <v>249</v>
      </c>
      <c r="L1567" s="15">
        <v>5</v>
      </c>
      <c r="M1567" s="188">
        <v>334.4</v>
      </c>
      <c r="N1567" s="169" t="s">
        <v>11</v>
      </c>
    </row>
    <row r="1568" spans="1:14" x14ac:dyDescent="0.25">
      <c r="A1568" s="140" t="s">
        <v>40</v>
      </c>
      <c r="B1568" s="69" t="s">
        <v>301</v>
      </c>
      <c r="C1568" s="51"/>
      <c r="D1568" s="120"/>
      <c r="E1568" s="121"/>
      <c r="F1568" s="12"/>
      <c r="G1568" s="157"/>
      <c r="H1568" s="12"/>
      <c r="I1568" s="62"/>
      <c r="J1568" s="27"/>
      <c r="K1568" s="62"/>
      <c r="L1568" s="12"/>
      <c r="M1568" s="191"/>
      <c r="N1568" s="65"/>
    </row>
    <row r="1569" spans="1:14" x14ac:dyDescent="0.25">
      <c r="A1569" s="63" t="s">
        <v>40</v>
      </c>
      <c r="B1569" s="71" t="s">
        <v>302</v>
      </c>
      <c r="C1569" s="2">
        <v>4058075730250</v>
      </c>
      <c r="D1569" s="84"/>
      <c r="E1569" s="85"/>
      <c r="F1569" s="16"/>
      <c r="G1569" s="156" t="str">
        <f>HYPERLINK("","Ficha Técnica")</f>
        <v>Ficha Técnica</v>
      </c>
      <c r="H1569" s="15"/>
      <c r="I1569" s="163"/>
      <c r="J1569" s="15"/>
      <c r="K1569" s="163"/>
      <c r="L1569" s="15"/>
      <c r="M1569" s="188">
        <v>8.1999999999999993</v>
      </c>
      <c r="N1569" s="169" t="s">
        <v>11</v>
      </c>
    </row>
    <row r="1570" spans="1:14" x14ac:dyDescent="0.25">
      <c r="A1570" s="66" t="s">
        <v>8</v>
      </c>
      <c r="B1570" s="69" t="s">
        <v>303</v>
      </c>
      <c r="C1570" s="51"/>
      <c r="D1570" s="120"/>
      <c r="E1570" s="121"/>
      <c r="F1570" s="12"/>
      <c r="G1570" s="157"/>
      <c r="H1570" s="12"/>
      <c r="I1570" s="62"/>
      <c r="J1570" s="27"/>
      <c r="K1570" s="62"/>
      <c r="L1570" s="12"/>
      <c r="M1570" s="191"/>
      <c r="N1570" s="65"/>
    </row>
    <row r="1571" spans="1:14" x14ac:dyDescent="0.25">
      <c r="A1571" s="63" t="s">
        <v>8</v>
      </c>
      <c r="B1571" s="71" t="s">
        <v>3404</v>
      </c>
      <c r="C1571" s="2">
        <v>4058075557710</v>
      </c>
      <c r="D1571" s="84"/>
      <c r="E1571" s="85"/>
      <c r="F1571" s="17"/>
      <c r="G1571" s="156" t="str">
        <f>HYPERLINK("https://ledvance.com/pt/product-datasheet/200170/132610","Ficha Técnica")</f>
        <v>Ficha Técnica</v>
      </c>
      <c r="H1571" s="15">
        <v>4</v>
      </c>
      <c r="I1571" s="163">
        <v>11250</v>
      </c>
      <c r="J1571" s="15">
        <v>90</v>
      </c>
      <c r="K1571" s="163" t="s">
        <v>249</v>
      </c>
      <c r="L1571" s="15">
        <v>5</v>
      </c>
      <c r="M1571" s="188">
        <v>202.1</v>
      </c>
      <c r="N1571" s="169" t="s">
        <v>11</v>
      </c>
    </row>
    <row r="1572" spans="1:14" x14ac:dyDescent="0.25">
      <c r="A1572" s="63" t="s">
        <v>8</v>
      </c>
      <c r="B1572" s="71" t="s">
        <v>3405</v>
      </c>
      <c r="C1572" s="2">
        <v>4058075557734</v>
      </c>
      <c r="D1572" s="84"/>
      <c r="E1572" s="85"/>
      <c r="F1572" s="17"/>
      <c r="G1572" s="156" t="str">
        <f>HYPERLINK("https://ledvance.com/pt/product-datasheet/200170/132613","Ficha Técnica")</f>
        <v>Ficha Técnica</v>
      </c>
      <c r="H1572" s="15">
        <v>4</v>
      </c>
      <c r="I1572" s="163">
        <v>11250</v>
      </c>
      <c r="J1572" s="15">
        <v>90</v>
      </c>
      <c r="K1572" s="163" t="s">
        <v>249</v>
      </c>
      <c r="L1572" s="15">
        <v>5</v>
      </c>
      <c r="M1572" s="188">
        <v>202.1</v>
      </c>
      <c r="N1572" s="169" t="s">
        <v>11</v>
      </c>
    </row>
    <row r="1573" spans="1:14" x14ac:dyDescent="0.25">
      <c r="A1573" s="63" t="s">
        <v>8</v>
      </c>
      <c r="B1573" s="71" t="s">
        <v>3406</v>
      </c>
      <c r="C1573" s="2">
        <v>4058075557758</v>
      </c>
      <c r="D1573" s="84"/>
      <c r="E1573" s="85"/>
      <c r="F1573" s="17"/>
      <c r="G1573" s="156" t="str">
        <f>HYPERLINK("https://ledvance.com/pt/product-datasheet/200170/132616","Ficha Técnica")</f>
        <v>Ficha Técnica</v>
      </c>
      <c r="H1573" s="15">
        <v>4</v>
      </c>
      <c r="I1573" s="163">
        <v>11700</v>
      </c>
      <c r="J1573" s="15">
        <v>90</v>
      </c>
      <c r="K1573" s="163" t="s">
        <v>249</v>
      </c>
      <c r="L1573" s="15">
        <v>5</v>
      </c>
      <c r="M1573" s="188">
        <v>202.1</v>
      </c>
      <c r="N1573" s="169" t="s">
        <v>11</v>
      </c>
    </row>
    <row r="1574" spans="1:14" x14ac:dyDescent="0.25">
      <c r="A1574" s="63" t="s">
        <v>8</v>
      </c>
      <c r="B1574" s="71" t="s">
        <v>3407</v>
      </c>
      <c r="C1574" s="2">
        <v>4058075557796</v>
      </c>
      <c r="D1574" s="84"/>
      <c r="E1574" s="85"/>
      <c r="F1574" s="17"/>
      <c r="G1574" s="156" t="str">
        <f>HYPERLINK("https://ledvance.com/pt/product-datasheet/200170/132619","Ficha Técnica")</f>
        <v>Ficha Técnica</v>
      </c>
      <c r="H1574" s="15">
        <v>4</v>
      </c>
      <c r="I1574" s="163">
        <v>12150</v>
      </c>
      <c r="J1574" s="15">
        <v>90</v>
      </c>
      <c r="K1574" s="163" t="s">
        <v>249</v>
      </c>
      <c r="L1574" s="15">
        <v>5</v>
      </c>
      <c r="M1574" s="188">
        <v>202.1</v>
      </c>
      <c r="N1574" s="169" t="s">
        <v>11</v>
      </c>
    </row>
    <row r="1575" spans="1:14" x14ac:dyDescent="0.25">
      <c r="A1575" s="63" t="s">
        <v>8</v>
      </c>
      <c r="B1575" s="71" t="s">
        <v>3408</v>
      </c>
      <c r="C1575" s="2">
        <v>4058075557819</v>
      </c>
      <c r="D1575" s="84"/>
      <c r="E1575" s="85"/>
      <c r="F1575" s="17"/>
      <c r="G1575" s="156" t="str">
        <f>HYPERLINK("https://ledvance.com/pt/product-datasheet/200170/132622","Ficha Técnica")</f>
        <v>Ficha Técnica</v>
      </c>
      <c r="H1575" s="15">
        <v>4</v>
      </c>
      <c r="I1575" s="163">
        <v>15000</v>
      </c>
      <c r="J1575" s="15">
        <v>120</v>
      </c>
      <c r="K1575" s="163" t="s">
        <v>249</v>
      </c>
      <c r="L1575" s="15">
        <v>5</v>
      </c>
      <c r="M1575" s="188">
        <v>242.5</v>
      </c>
      <c r="N1575" s="169" t="s">
        <v>11</v>
      </c>
    </row>
    <row r="1576" spans="1:14" x14ac:dyDescent="0.25">
      <c r="A1576" s="63" t="s">
        <v>8</v>
      </c>
      <c r="B1576" s="71" t="s">
        <v>3409</v>
      </c>
      <c r="C1576" s="2">
        <v>4058075557857</v>
      </c>
      <c r="D1576" s="84"/>
      <c r="E1576" s="85"/>
      <c r="F1576" s="17"/>
      <c r="G1576" s="156" t="str">
        <f>HYPERLINK("https://ledvance.com/pt/product-datasheet/200170/132625","Ficha Técnica")</f>
        <v>Ficha Técnica</v>
      </c>
      <c r="H1576" s="15">
        <v>4</v>
      </c>
      <c r="I1576" s="163">
        <v>15000</v>
      </c>
      <c r="J1576" s="15">
        <v>120</v>
      </c>
      <c r="K1576" s="163" t="s">
        <v>249</v>
      </c>
      <c r="L1576" s="15">
        <v>5</v>
      </c>
      <c r="M1576" s="188">
        <v>242.5</v>
      </c>
      <c r="N1576" s="169" t="s">
        <v>11</v>
      </c>
    </row>
    <row r="1577" spans="1:14" x14ac:dyDescent="0.25">
      <c r="A1577" s="63" t="s">
        <v>8</v>
      </c>
      <c r="B1577" s="71" t="s">
        <v>3410</v>
      </c>
      <c r="C1577" s="2">
        <v>4058075557871</v>
      </c>
      <c r="D1577" s="84"/>
      <c r="E1577" s="85"/>
      <c r="F1577" s="17"/>
      <c r="G1577" s="156" t="str">
        <f>HYPERLINK("https://ledvance.com/pt/product-datasheet/200170/132628","Ficha Técnica")</f>
        <v>Ficha Técnica</v>
      </c>
      <c r="H1577" s="15">
        <v>4</v>
      </c>
      <c r="I1577" s="163">
        <v>15600</v>
      </c>
      <c r="J1577" s="15">
        <v>120</v>
      </c>
      <c r="K1577" s="163" t="s">
        <v>249</v>
      </c>
      <c r="L1577" s="15">
        <v>5</v>
      </c>
      <c r="M1577" s="188">
        <v>242.5</v>
      </c>
      <c r="N1577" s="169" t="s">
        <v>11</v>
      </c>
    </row>
    <row r="1578" spans="1:14" x14ac:dyDescent="0.25">
      <c r="A1578" s="63" t="s">
        <v>8</v>
      </c>
      <c r="B1578" s="71" t="s">
        <v>3411</v>
      </c>
      <c r="C1578" s="2">
        <v>4058075557895</v>
      </c>
      <c r="D1578" s="84"/>
      <c r="E1578" s="85"/>
      <c r="F1578" s="17"/>
      <c r="G1578" s="156" t="str">
        <f>HYPERLINK("https://ledvance.com/pt/product-datasheet/200170/34002","Ficha Técnica")</f>
        <v>Ficha Técnica</v>
      </c>
      <c r="H1578" s="15">
        <v>2</v>
      </c>
      <c r="I1578" s="163">
        <v>16200</v>
      </c>
      <c r="J1578" s="15">
        <v>120</v>
      </c>
      <c r="K1578" s="163" t="s">
        <v>249</v>
      </c>
      <c r="L1578" s="15">
        <v>5</v>
      </c>
      <c r="M1578" s="188">
        <v>242.5</v>
      </c>
      <c r="N1578" s="169" t="s">
        <v>11</v>
      </c>
    </row>
    <row r="1579" spans="1:14" x14ac:dyDescent="0.25">
      <c r="A1579" s="63" t="s">
        <v>8</v>
      </c>
      <c r="B1579" s="71" t="s">
        <v>3412</v>
      </c>
      <c r="C1579" s="2">
        <v>4058075557918</v>
      </c>
      <c r="D1579" s="84"/>
      <c r="E1579" s="85"/>
      <c r="F1579" s="17"/>
      <c r="G1579" s="156" t="str">
        <f>HYPERLINK("https://ledvance.com/pt/product-datasheet/200170/132631","Ficha Técnica")</f>
        <v>Ficha Técnica</v>
      </c>
      <c r="H1579" s="15">
        <v>2</v>
      </c>
      <c r="I1579" s="163">
        <v>18750</v>
      </c>
      <c r="J1579" s="15">
        <v>150</v>
      </c>
      <c r="K1579" s="163" t="s">
        <v>249</v>
      </c>
      <c r="L1579" s="15">
        <v>5</v>
      </c>
      <c r="M1579" s="188">
        <v>309.8</v>
      </c>
      <c r="N1579" s="169" t="s">
        <v>11</v>
      </c>
    </row>
    <row r="1580" spans="1:14" x14ac:dyDescent="0.25">
      <c r="A1580" s="63" t="s">
        <v>8</v>
      </c>
      <c r="B1580" s="71" t="s">
        <v>3413</v>
      </c>
      <c r="C1580" s="2">
        <v>4058075557932</v>
      </c>
      <c r="D1580" s="84"/>
      <c r="E1580" s="85"/>
      <c r="F1580" s="17"/>
      <c r="G1580" s="156" t="str">
        <f>HYPERLINK("https://ledvance.com/pt/product-datasheet/200170/132634","Ficha Técnica")</f>
        <v>Ficha Técnica</v>
      </c>
      <c r="H1580" s="15">
        <v>2</v>
      </c>
      <c r="I1580" s="163">
        <v>18750</v>
      </c>
      <c r="J1580" s="15">
        <v>150</v>
      </c>
      <c r="K1580" s="163" t="s">
        <v>249</v>
      </c>
      <c r="L1580" s="15">
        <v>5</v>
      </c>
      <c r="M1580" s="188">
        <v>309.8</v>
      </c>
      <c r="N1580" s="169" t="s">
        <v>11</v>
      </c>
    </row>
    <row r="1581" spans="1:14" x14ac:dyDescent="0.25">
      <c r="A1581" s="63" t="s">
        <v>8</v>
      </c>
      <c r="B1581" s="71" t="s">
        <v>3414</v>
      </c>
      <c r="C1581" s="2">
        <v>4058075557956</v>
      </c>
      <c r="D1581" s="84"/>
      <c r="E1581" s="85"/>
      <c r="F1581" s="17"/>
      <c r="G1581" s="156" t="str">
        <f>HYPERLINK("https://ledvance.com/pt/product-datasheet/200170/132637","Ficha Técnica")</f>
        <v>Ficha Técnica</v>
      </c>
      <c r="H1581" s="15">
        <v>2</v>
      </c>
      <c r="I1581" s="163">
        <v>19500</v>
      </c>
      <c r="J1581" s="15">
        <v>150</v>
      </c>
      <c r="K1581" s="163" t="s">
        <v>249</v>
      </c>
      <c r="L1581" s="15">
        <v>5</v>
      </c>
      <c r="M1581" s="188">
        <v>309.8</v>
      </c>
      <c r="N1581" s="169" t="s">
        <v>11</v>
      </c>
    </row>
    <row r="1582" spans="1:14" x14ac:dyDescent="0.25">
      <c r="A1582" s="63" t="s">
        <v>8</v>
      </c>
      <c r="B1582" s="71" t="s">
        <v>3415</v>
      </c>
      <c r="C1582" s="2">
        <v>4058075557970</v>
      </c>
      <c r="D1582" s="84"/>
      <c r="E1582" s="85"/>
      <c r="F1582" s="17"/>
      <c r="G1582" s="156" t="str">
        <f>HYPERLINK("https://ledvance.com/pt/product-datasheet/200170/132640","Ficha Técnica")</f>
        <v>Ficha Técnica</v>
      </c>
      <c r="H1582" s="15">
        <v>2</v>
      </c>
      <c r="I1582" s="163">
        <v>20250</v>
      </c>
      <c r="J1582" s="15">
        <v>150</v>
      </c>
      <c r="K1582" s="163" t="s">
        <v>249</v>
      </c>
      <c r="L1582" s="15">
        <v>5</v>
      </c>
      <c r="M1582" s="188">
        <v>309.8</v>
      </c>
      <c r="N1582" s="169" t="s">
        <v>11</v>
      </c>
    </row>
    <row r="1583" spans="1:14" x14ac:dyDescent="0.25">
      <c r="A1583" s="66" t="s">
        <v>40</v>
      </c>
      <c r="B1583" s="69" t="s">
        <v>304</v>
      </c>
      <c r="C1583" s="51"/>
      <c r="D1583" s="120"/>
      <c r="E1583" s="121"/>
      <c r="F1583" s="12"/>
      <c r="G1583" s="157"/>
      <c r="H1583" s="12"/>
      <c r="I1583" s="62"/>
      <c r="J1583" s="27"/>
      <c r="K1583" s="62"/>
      <c r="L1583" s="12"/>
      <c r="M1583" s="191"/>
      <c r="N1583" s="65"/>
    </row>
    <row r="1584" spans="1:14" x14ac:dyDescent="0.25">
      <c r="A1584" s="63" t="s">
        <v>40</v>
      </c>
      <c r="B1584" s="71" t="s">
        <v>305</v>
      </c>
      <c r="C1584" s="2">
        <v>4058075557253</v>
      </c>
      <c r="D1584" s="84"/>
      <c r="E1584" s="85"/>
      <c r="F1584" s="17"/>
      <c r="G1584" s="156" t="str">
        <f>HYPERLINK("https://ledvance.com/pt/product-datasheet/200171/45559","Ficha Técnica")</f>
        <v>Ficha Técnica</v>
      </c>
      <c r="H1584" s="15">
        <v>100</v>
      </c>
      <c r="I1584" s="163"/>
      <c r="J1584" s="15"/>
      <c r="K1584" s="163"/>
      <c r="L1584" s="15">
        <v>5</v>
      </c>
      <c r="M1584" s="188">
        <v>16.899999999999999</v>
      </c>
      <c r="N1584" s="169" t="s">
        <v>11</v>
      </c>
    </row>
    <row r="1585" spans="1:14" x14ac:dyDescent="0.25">
      <c r="A1585" s="63" t="s">
        <v>40</v>
      </c>
      <c r="B1585" s="71" t="s">
        <v>306</v>
      </c>
      <c r="C1585" s="2">
        <v>4058075557277</v>
      </c>
      <c r="D1585" s="84"/>
      <c r="E1585" s="85"/>
      <c r="F1585" s="17"/>
      <c r="G1585" s="156" t="str">
        <f>HYPERLINK("https://ledvance.com/pt/product-datasheet/200171/45562","Ficha Técnica")</f>
        <v>Ficha Técnica</v>
      </c>
      <c r="H1585" s="15">
        <v>10</v>
      </c>
      <c r="I1585" s="163"/>
      <c r="J1585" s="15"/>
      <c r="K1585" s="163"/>
      <c r="L1585" s="15">
        <v>5</v>
      </c>
      <c r="M1585" s="188">
        <v>45.5</v>
      </c>
      <c r="N1585" s="169" t="s">
        <v>11</v>
      </c>
    </row>
    <row r="1586" spans="1:14" x14ac:dyDescent="0.25">
      <c r="A1586" s="66" t="s">
        <v>8</v>
      </c>
      <c r="B1586" s="69" t="s">
        <v>1401</v>
      </c>
      <c r="C1586" s="51"/>
      <c r="D1586" s="120"/>
      <c r="E1586" s="121"/>
      <c r="F1586" s="12"/>
      <c r="G1586" s="157"/>
      <c r="H1586" s="12"/>
      <c r="I1586" s="62"/>
      <c r="J1586" s="27"/>
      <c r="K1586" s="62"/>
      <c r="L1586" s="12"/>
      <c r="M1586" s="191"/>
      <c r="N1586" s="65"/>
    </row>
    <row r="1587" spans="1:14" x14ac:dyDescent="0.25">
      <c r="A1587" s="63" t="s">
        <v>8</v>
      </c>
      <c r="B1587" s="71" t="s">
        <v>3416</v>
      </c>
      <c r="C1587" s="4">
        <v>4099854287626</v>
      </c>
      <c r="D1587" s="93"/>
      <c r="E1587" s="61"/>
      <c r="G1587" s="156" t="str">
        <f>HYPERLINK("https://ledvance.com/pt/product-datasheet/310698/299778","Ficha Técnica")</f>
        <v>Ficha Técnica</v>
      </c>
      <c r="H1587" s="15">
        <v>1</v>
      </c>
      <c r="I1587" s="163" t="s">
        <v>1840</v>
      </c>
      <c r="J1587" s="15" t="s">
        <v>1841</v>
      </c>
      <c r="K1587" s="163" t="s">
        <v>249</v>
      </c>
      <c r="L1587" s="15">
        <v>5</v>
      </c>
      <c r="M1587" s="188">
        <v>225.6</v>
      </c>
      <c r="N1587" s="169" t="s">
        <v>11</v>
      </c>
    </row>
    <row r="1588" spans="1:14" x14ac:dyDescent="0.25">
      <c r="A1588" s="63" t="s">
        <v>8</v>
      </c>
      <c r="B1588" s="71" t="s">
        <v>3417</v>
      </c>
      <c r="C1588" s="4">
        <v>4099854287633</v>
      </c>
      <c r="D1588" s="93"/>
      <c r="E1588" s="61"/>
      <c r="G1588" s="156" t="str">
        <f>HYPERLINK("https://ledvance.com/pt/product-datasheet/310698/299780","Ficha Técnica")</f>
        <v>Ficha Técnica</v>
      </c>
      <c r="H1588" s="15">
        <v>1</v>
      </c>
      <c r="I1588" s="163" t="s">
        <v>1840</v>
      </c>
      <c r="J1588" s="15" t="s">
        <v>1841</v>
      </c>
      <c r="K1588" s="163" t="s">
        <v>249</v>
      </c>
      <c r="L1588" s="15">
        <v>5</v>
      </c>
      <c r="M1588" s="188">
        <v>225.6</v>
      </c>
      <c r="N1588" s="169" t="s">
        <v>11</v>
      </c>
    </row>
    <row r="1589" spans="1:14" x14ac:dyDescent="0.25">
      <c r="A1589" s="63" t="s">
        <v>8</v>
      </c>
      <c r="B1589" s="71" t="s">
        <v>3418</v>
      </c>
      <c r="C1589" s="4">
        <v>4099854246845</v>
      </c>
      <c r="D1589" s="93"/>
      <c r="E1589" s="61"/>
      <c r="G1589" s="156" t="str">
        <f>HYPERLINK("https://ledvance.com/pt/product-datasheet/310698/288310","Ficha Técnica")</f>
        <v>Ficha Técnica</v>
      </c>
      <c r="H1589" s="15">
        <v>1</v>
      </c>
      <c r="I1589" s="163" t="s">
        <v>1842</v>
      </c>
      <c r="J1589" s="15" t="s">
        <v>1841</v>
      </c>
      <c r="K1589" s="163" t="s">
        <v>249</v>
      </c>
      <c r="L1589" s="15">
        <v>5</v>
      </c>
      <c r="M1589" s="188">
        <v>225.6</v>
      </c>
      <c r="N1589" s="169" t="s">
        <v>11</v>
      </c>
    </row>
    <row r="1590" spans="1:14" x14ac:dyDescent="0.25">
      <c r="A1590" s="63" t="s">
        <v>8</v>
      </c>
      <c r="B1590" s="71" t="s">
        <v>3419</v>
      </c>
      <c r="C1590" s="4">
        <v>4099854246838</v>
      </c>
      <c r="D1590" s="93"/>
      <c r="E1590" s="61"/>
      <c r="G1590" s="156" t="str">
        <f>HYPERLINK("https://ledvance.com/pt/product-datasheet/310698/288308","Ficha Técnica")</f>
        <v>Ficha Técnica</v>
      </c>
      <c r="H1590" s="15">
        <v>1</v>
      </c>
      <c r="I1590" s="163" t="s">
        <v>1842</v>
      </c>
      <c r="J1590" s="15" t="s">
        <v>1841</v>
      </c>
      <c r="K1590" s="163" t="s">
        <v>249</v>
      </c>
      <c r="L1590" s="15">
        <v>5</v>
      </c>
      <c r="M1590" s="188">
        <v>225.6</v>
      </c>
      <c r="N1590" s="169" t="s">
        <v>11</v>
      </c>
    </row>
    <row r="1591" spans="1:14" x14ac:dyDescent="0.25">
      <c r="A1591" s="63" t="s">
        <v>8</v>
      </c>
      <c r="B1591" s="71" t="s">
        <v>3420</v>
      </c>
      <c r="C1591" s="4">
        <v>4099854287664</v>
      </c>
      <c r="D1591" s="93"/>
      <c r="E1591" s="61"/>
      <c r="G1591" s="156" t="str">
        <f>HYPERLINK("https://ledvance.com/pt/product-datasheet/310698/299786","Ficha Técnica")</f>
        <v>Ficha Técnica</v>
      </c>
      <c r="H1591" s="15">
        <v>1</v>
      </c>
      <c r="I1591" s="163" t="s">
        <v>1843</v>
      </c>
      <c r="J1591" s="15" t="s">
        <v>1844</v>
      </c>
      <c r="K1591" s="163" t="s">
        <v>249</v>
      </c>
      <c r="L1591" s="15">
        <v>5</v>
      </c>
      <c r="M1591" s="188">
        <v>246.7</v>
      </c>
      <c r="N1591" s="169" t="s">
        <v>11</v>
      </c>
    </row>
    <row r="1592" spans="1:14" x14ac:dyDescent="0.25">
      <c r="A1592" s="63" t="s">
        <v>8</v>
      </c>
      <c r="B1592" s="71" t="s">
        <v>3421</v>
      </c>
      <c r="C1592" s="4">
        <v>4099854287671</v>
      </c>
      <c r="D1592" s="93"/>
      <c r="E1592" s="61"/>
      <c r="G1592" s="156" t="str">
        <f>HYPERLINK("https://ledvance.com/pt/product-datasheet/310698/299788","Ficha Técnica")</f>
        <v>Ficha Técnica</v>
      </c>
      <c r="H1592" s="15">
        <v>1</v>
      </c>
      <c r="I1592" s="163" t="s">
        <v>1843</v>
      </c>
      <c r="J1592" s="15" t="s">
        <v>1844</v>
      </c>
      <c r="K1592" s="163" t="s">
        <v>249</v>
      </c>
      <c r="L1592" s="15">
        <v>5</v>
      </c>
      <c r="M1592" s="188">
        <v>246.7</v>
      </c>
      <c r="N1592" s="169" t="s">
        <v>11</v>
      </c>
    </row>
    <row r="1593" spans="1:14" x14ac:dyDescent="0.25">
      <c r="A1593" s="63" t="s">
        <v>8</v>
      </c>
      <c r="B1593" s="71" t="s">
        <v>3422</v>
      </c>
      <c r="C1593" s="4">
        <v>4099854246807</v>
      </c>
      <c r="D1593" s="93"/>
      <c r="E1593" s="61"/>
      <c r="G1593" s="156" t="str">
        <f>HYPERLINK("https://ledvance.com/pt/product-datasheet/310698/288318","Ficha Técnica")</f>
        <v>Ficha Técnica</v>
      </c>
      <c r="H1593" s="15">
        <v>1</v>
      </c>
      <c r="I1593" s="163" t="s">
        <v>1845</v>
      </c>
      <c r="J1593" s="15" t="s">
        <v>1844</v>
      </c>
      <c r="K1593" s="163" t="s">
        <v>249</v>
      </c>
      <c r="L1593" s="15">
        <v>5</v>
      </c>
      <c r="M1593" s="188">
        <v>246.7</v>
      </c>
      <c r="N1593" s="169" t="s">
        <v>11</v>
      </c>
    </row>
    <row r="1594" spans="1:14" x14ac:dyDescent="0.25">
      <c r="A1594" s="63" t="s">
        <v>8</v>
      </c>
      <c r="B1594" s="71" t="s">
        <v>3423</v>
      </c>
      <c r="C1594" s="4">
        <v>4099854246791</v>
      </c>
      <c r="D1594" s="93"/>
      <c r="E1594" s="61"/>
      <c r="G1594" s="156" t="str">
        <f>HYPERLINK("https://ledvance.com/pt/product-datasheet/310698/288316","Ficha Técnica")</f>
        <v>Ficha Técnica</v>
      </c>
      <c r="H1594" s="15">
        <v>1</v>
      </c>
      <c r="I1594" s="163" t="s">
        <v>1845</v>
      </c>
      <c r="J1594" s="15" t="s">
        <v>1844</v>
      </c>
      <c r="K1594" s="163" t="s">
        <v>249</v>
      </c>
      <c r="L1594" s="15">
        <v>5</v>
      </c>
      <c r="M1594" s="188">
        <v>246.7</v>
      </c>
      <c r="N1594" s="169" t="s">
        <v>11</v>
      </c>
    </row>
    <row r="1595" spans="1:14" x14ac:dyDescent="0.25">
      <c r="A1595" s="63" t="s">
        <v>8</v>
      </c>
      <c r="B1595" s="71" t="s">
        <v>3424</v>
      </c>
      <c r="C1595" s="4">
        <v>4099854287640</v>
      </c>
      <c r="D1595" s="93"/>
      <c r="E1595" s="61"/>
      <c r="G1595" s="156" t="str">
        <f>HYPERLINK("https://ledvance.com/pt/product-datasheet/310699/299782","Ficha Técnica")</f>
        <v>Ficha Técnica</v>
      </c>
      <c r="H1595" s="15">
        <v>1</v>
      </c>
      <c r="I1595" s="163" t="s">
        <v>1840</v>
      </c>
      <c r="J1595" s="15" t="s">
        <v>1841</v>
      </c>
      <c r="K1595" s="163" t="s">
        <v>249</v>
      </c>
      <c r="L1595" s="15">
        <v>5</v>
      </c>
      <c r="M1595" s="188">
        <v>225.6</v>
      </c>
      <c r="N1595" s="169" t="s">
        <v>11</v>
      </c>
    </row>
    <row r="1596" spans="1:14" x14ac:dyDescent="0.25">
      <c r="A1596" s="63" t="s">
        <v>8</v>
      </c>
      <c r="B1596" s="71" t="s">
        <v>3425</v>
      </c>
      <c r="C1596" s="4">
        <v>4099854287657</v>
      </c>
      <c r="D1596" s="93"/>
      <c r="E1596" s="61"/>
      <c r="G1596" s="156" t="str">
        <f>HYPERLINK("https://ledvance.com/pt/product-datasheet/310699/299784","Ficha Técnica")</f>
        <v>Ficha Técnica</v>
      </c>
      <c r="H1596" s="15">
        <v>1</v>
      </c>
      <c r="I1596" s="163" t="s">
        <v>1840</v>
      </c>
      <c r="J1596" s="15" t="s">
        <v>1841</v>
      </c>
      <c r="K1596" s="163" t="s">
        <v>249</v>
      </c>
      <c r="L1596" s="15">
        <v>5</v>
      </c>
      <c r="M1596" s="188">
        <v>225.6</v>
      </c>
      <c r="N1596" s="169" t="s">
        <v>11</v>
      </c>
    </row>
    <row r="1597" spans="1:14" x14ac:dyDescent="0.25">
      <c r="A1597" s="63" t="s">
        <v>8</v>
      </c>
      <c r="B1597" s="71" t="s">
        <v>3426</v>
      </c>
      <c r="C1597" s="4">
        <v>4099854246784</v>
      </c>
      <c r="D1597" s="93"/>
      <c r="E1597" s="61"/>
      <c r="G1597" s="156" t="str">
        <f>HYPERLINK("https://ledvance.com/pt/product-datasheet/310699/288314","Ficha Técnica")</f>
        <v>Ficha Técnica</v>
      </c>
      <c r="H1597" s="15">
        <v>1</v>
      </c>
      <c r="I1597" s="163" t="s">
        <v>1842</v>
      </c>
      <c r="J1597" s="15" t="s">
        <v>1841</v>
      </c>
      <c r="K1597" s="163" t="s">
        <v>249</v>
      </c>
      <c r="L1597" s="15">
        <v>5</v>
      </c>
      <c r="M1597" s="188">
        <v>225.6</v>
      </c>
      <c r="N1597" s="169" t="s">
        <v>11</v>
      </c>
    </row>
    <row r="1598" spans="1:14" x14ac:dyDescent="0.25">
      <c r="A1598" s="63" t="s">
        <v>8</v>
      </c>
      <c r="B1598" s="71" t="s">
        <v>3427</v>
      </c>
      <c r="C1598" s="4">
        <v>4099854246852</v>
      </c>
      <c r="D1598" s="93"/>
      <c r="E1598" s="61"/>
      <c r="G1598" s="156" t="str">
        <f>HYPERLINK("https://ledvance.com/pt/product-datasheet/310699/288312","Ficha Técnica")</f>
        <v>Ficha Técnica</v>
      </c>
      <c r="H1598" s="15">
        <v>1</v>
      </c>
      <c r="I1598" s="163" t="s">
        <v>1842</v>
      </c>
      <c r="J1598" s="15" t="s">
        <v>1841</v>
      </c>
      <c r="K1598" s="163" t="s">
        <v>249</v>
      </c>
      <c r="L1598" s="15">
        <v>5</v>
      </c>
      <c r="M1598" s="188">
        <v>225.6</v>
      </c>
      <c r="N1598" s="169" t="s">
        <v>11</v>
      </c>
    </row>
    <row r="1599" spans="1:14" x14ac:dyDescent="0.25">
      <c r="A1599" s="63" t="s">
        <v>8</v>
      </c>
      <c r="B1599" s="71" t="s">
        <v>3428</v>
      </c>
      <c r="C1599" s="4">
        <v>4099854287688</v>
      </c>
      <c r="D1599" s="93"/>
      <c r="E1599" s="61"/>
      <c r="G1599" s="156" t="str">
        <f>HYPERLINK("https://ledvance.com/pt/product-datasheet/310699/299790","Ficha Técnica")</f>
        <v>Ficha Técnica</v>
      </c>
      <c r="H1599" s="15">
        <v>1</v>
      </c>
      <c r="I1599" s="163" t="s">
        <v>1843</v>
      </c>
      <c r="J1599" s="15" t="s">
        <v>1844</v>
      </c>
      <c r="K1599" s="163" t="s">
        <v>249</v>
      </c>
      <c r="L1599" s="15">
        <v>5</v>
      </c>
      <c r="M1599" s="188">
        <v>246.7</v>
      </c>
      <c r="N1599" s="169" t="s">
        <v>11</v>
      </c>
    </row>
    <row r="1600" spans="1:14" x14ac:dyDescent="0.25">
      <c r="A1600" s="63" t="s">
        <v>8</v>
      </c>
      <c r="B1600" s="71" t="s">
        <v>3429</v>
      </c>
      <c r="C1600" s="4">
        <v>4099854287695</v>
      </c>
      <c r="D1600" s="93"/>
      <c r="E1600" s="61"/>
      <c r="G1600" s="156" t="str">
        <f>HYPERLINK("https://ledvance.com/pt/product-datasheet/310699/299792","Ficha Técnica")</f>
        <v>Ficha Técnica</v>
      </c>
      <c r="H1600" s="15">
        <v>1</v>
      </c>
      <c r="I1600" s="163" t="s">
        <v>1843</v>
      </c>
      <c r="J1600" s="15" t="s">
        <v>1844</v>
      </c>
      <c r="K1600" s="163" t="s">
        <v>249</v>
      </c>
      <c r="L1600" s="15">
        <v>5</v>
      </c>
      <c r="M1600" s="188">
        <v>246.7</v>
      </c>
      <c r="N1600" s="169" t="s">
        <v>11</v>
      </c>
    </row>
    <row r="1601" spans="1:14" ht="16.899999999999999" customHeight="1" x14ac:dyDescent="0.25">
      <c r="A1601" s="63" t="s">
        <v>8</v>
      </c>
      <c r="B1601" s="71" t="s">
        <v>3430</v>
      </c>
      <c r="C1601" s="4">
        <v>4099854246821</v>
      </c>
      <c r="D1601" s="93"/>
      <c r="E1601" s="61"/>
      <c r="G1601" s="156" t="str">
        <f>HYPERLINK("https://ledvance.com/pt/product-datasheet/310699/288322","Ficha Técnica")</f>
        <v>Ficha Técnica</v>
      </c>
      <c r="H1601" s="15">
        <v>1</v>
      </c>
      <c r="I1601" s="163" t="s">
        <v>1845</v>
      </c>
      <c r="J1601" s="15" t="s">
        <v>1844</v>
      </c>
      <c r="K1601" s="163" t="s">
        <v>249</v>
      </c>
      <c r="L1601" s="15">
        <v>5</v>
      </c>
      <c r="M1601" s="188">
        <v>246.7</v>
      </c>
      <c r="N1601" s="169" t="s">
        <v>11</v>
      </c>
    </row>
    <row r="1602" spans="1:14" x14ac:dyDescent="0.25">
      <c r="A1602" s="63" t="s">
        <v>8</v>
      </c>
      <c r="B1602" s="71" t="s">
        <v>3431</v>
      </c>
      <c r="C1602" s="4">
        <v>4099854246814</v>
      </c>
      <c r="D1602" s="93"/>
      <c r="E1602" s="61"/>
      <c r="G1602" s="156" t="str">
        <f>HYPERLINK("https://ledvance.com/pt/product-datasheet/310699/288320","Ficha Técnica")</f>
        <v>Ficha Técnica</v>
      </c>
      <c r="H1602" s="15">
        <v>1</v>
      </c>
      <c r="I1602" s="163" t="s">
        <v>1845</v>
      </c>
      <c r="J1602" s="15" t="s">
        <v>1844</v>
      </c>
      <c r="K1602" s="163" t="s">
        <v>249</v>
      </c>
      <c r="L1602" s="15">
        <v>5</v>
      </c>
      <c r="M1602" s="188">
        <v>246.7</v>
      </c>
      <c r="N1602" s="169" t="s">
        <v>11</v>
      </c>
    </row>
    <row r="1603" spans="1:14" x14ac:dyDescent="0.25">
      <c r="A1603" s="140" t="s">
        <v>40</v>
      </c>
      <c r="B1603" s="69" t="s">
        <v>307</v>
      </c>
      <c r="C1603" s="51"/>
      <c r="D1603" s="120"/>
      <c r="E1603" s="121"/>
      <c r="F1603" s="12"/>
      <c r="G1603" s="157"/>
      <c r="H1603" s="12"/>
      <c r="I1603" s="62"/>
      <c r="J1603" s="27"/>
      <c r="K1603" s="62"/>
      <c r="L1603" s="12"/>
      <c r="M1603" s="191"/>
      <c r="N1603" s="65"/>
    </row>
    <row r="1604" spans="1:14" x14ac:dyDescent="0.25">
      <c r="A1604" s="63" t="s">
        <v>40</v>
      </c>
      <c r="B1604" s="71" t="s">
        <v>2211</v>
      </c>
      <c r="C1604" s="4">
        <v>4099854455933</v>
      </c>
      <c r="D1604" s="95">
        <v>4058075237025</v>
      </c>
      <c r="E1604" s="102" t="s">
        <v>308</v>
      </c>
      <c r="G1604" s="156" t="str">
        <f>HYPERLINK("https://ledvance.com/pt/product-datasheet/9015/131854","Ficha Técnica")</f>
        <v>Ficha Técnica</v>
      </c>
      <c r="H1604" s="15">
        <v>8</v>
      </c>
      <c r="I1604" s="163"/>
      <c r="J1604" s="15"/>
      <c r="K1604" s="163" t="s">
        <v>46</v>
      </c>
      <c r="L1604" s="15">
        <v>3</v>
      </c>
      <c r="M1604" s="188">
        <v>118.1</v>
      </c>
      <c r="N1604" s="169" t="s">
        <v>11</v>
      </c>
    </row>
    <row r="1605" spans="1:14" x14ac:dyDescent="0.25">
      <c r="A1605" s="66" t="s">
        <v>309</v>
      </c>
      <c r="B1605" s="69" t="s">
        <v>310</v>
      </c>
      <c r="C1605" s="51"/>
      <c r="D1605" s="120"/>
      <c r="E1605" s="121"/>
      <c r="F1605" s="12"/>
      <c r="G1605" s="157"/>
      <c r="H1605" s="12"/>
      <c r="I1605" s="62"/>
      <c r="J1605" s="27"/>
      <c r="K1605" s="62"/>
      <c r="L1605" s="12"/>
      <c r="M1605" s="191"/>
      <c r="N1605" s="65"/>
    </row>
    <row r="1606" spans="1:14" x14ac:dyDescent="0.25">
      <c r="A1606" s="63" t="s">
        <v>309</v>
      </c>
      <c r="B1606" s="71" t="s">
        <v>311</v>
      </c>
      <c r="C1606" s="4">
        <v>4058075427488</v>
      </c>
      <c r="D1606" s="84"/>
      <c r="E1606" s="85"/>
      <c r="F1606" s="17"/>
      <c r="G1606" s="156" t="str">
        <f>HYPERLINK("https://ledvance.com/pt/product-datasheet/322277/48398","Ficha Técnica")</f>
        <v>Ficha Técnica</v>
      </c>
      <c r="H1606" s="15">
        <v>5</v>
      </c>
      <c r="I1606" s="163"/>
      <c r="J1606" s="15" t="s">
        <v>1846</v>
      </c>
      <c r="K1606" s="163" t="s">
        <v>46</v>
      </c>
      <c r="L1606" s="15">
        <v>5</v>
      </c>
      <c r="M1606" s="188">
        <v>1512.8</v>
      </c>
      <c r="N1606" s="169" t="s">
        <v>11</v>
      </c>
    </row>
    <row r="1607" spans="1:14" x14ac:dyDescent="0.25">
      <c r="A1607" s="63" t="s">
        <v>309</v>
      </c>
      <c r="B1607" s="71" t="s">
        <v>312</v>
      </c>
      <c r="C1607" s="4">
        <v>4058075446182</v>
      </c>
      <c r="D1607" s="84"/>
      <c r="E1607" s="85"/>
      <c r="F1607" s="17"/>
      <c r="G1607" s="156" t="str">
        <f>HYPERLINK("https://ledvance.com/pt/product-datasheet/322279/48324","Ficha Técnica")</f>
        <v>Ficha Técnica</v>
      </c>
      <c r="H1607" s="15">
        <v>10</v>
      </c>
      <c r="I1607" s="163"/>
      <c r="J1607" s="15" t="s">
        <v>1847</v>
      </c>
      <c r="K1607" s="163" t="s">
        <v>46</v>
      </c>
      <c r="L1607" s="15">
        <v>5</v>
      </c>
      <c r="M1607" s="188">
        <v>338.5</v>
      </c>
      <c r="N1607" s="169" t="s">
        <v>11</v>
      </c>
    </row>
    <row r="1608" spans="1:14" x14ac:dyDescent="0.25">
      <c r="A1608" s="63" t="s">
        <v>309</v>
      </c>
      <c r="B1608" s="71" t="s">
        <v>313</v>
      </c>
      <c r="C1608" s="4">
        <v>4058075544222</v>
      </c>
      <c r="D1608" s="84"/>
      <c r="E1608" s="85"/>
      <c r="F1608" s="17"/>
      <c r="G1608" s="156" t="str">
        <f>HYPERLINK("https://ledvance.com/pt/product-datasheet/322280/48427","Ficha Técnica")</f>
        <v>Ficha Técnica</v>
      </c>
      <c r="H1608" s="15">
        <v>10</v>
      </c>
      <c r="I1608" s="163"/>
      <c r="J1608" s="15" t="s">
        <v>1847</v>
      </c>
      <c r="K1608" s="163" t="s">
        <v>46</v>
      </c>
      <c r="L1608" s="15">
        <v>5</v>
      </c>
      <c r="M1608" s="188">
        <v>261.10000000000002</v>
      </c>
      <c r="N1608" s="169" t="s">
        <v>11</v>
      </c>
    </row>
    <row r="1609" spans="1:14" x14ac:dyDescent="0.25">
      <c r="A1609" s="63" t="s">
        <v>309</v>
      </c>
      <c r="B1609" s="71" t="s">
        <v>314</v>
      </c>
      <c r="C1609" s="4">
        <v>4058075463806</v>
      </c>
      <c r="D1609" s="84"/>
      <c r="E1609" s="85"/>
      <c r="F1609" s="17"/>
      <c r="G1609" s="156" t="str">
        <f>HYPERLINK("https://ledvance.com/pt/product-datasheet/322278/46654","Ficha Técnica")</f>
        <v>Ficha Técnica</v>
      </c>
      <c r="H1609" s="15">
        <v>10</v>
      </c>
      <c r="I1609" s="163"/>
      <c r="J1609" s="15" t="s">
        <v>1848</v>
      </c>
      <c r="K1609" s="163" t="s">
        <v>46</v>
      </c>
      <c r="L1609" s="15">
        <v>5</v>
      </c>
      <c r="M1609" s="188">
        <v>224.4</v>
      </c>
      <c r="N1609" s="169" t="s">
        <v>11</v>
      </c>
    </row>
    <row r="1610" spans="1:14" x14ac:dyDescent="0.25">
      <c r="A1610" s="63" t="s">
        <v>309</v>
      </c>
      <c r="B1610" s="71" t="s">
        <v>2145</v>
      </c>
      <c r="C1610" s="4">
        <v>4058075650107</v>
      </c>
      <c r="D1610" s="84"/>
      <c r="E1610" s="87"/>
      <c r="F1610" s="14"/>
      <c r="G1610" s="156" t="str">
        <f>HYPERLINK("https://ledvance.com/pt/product-datasheet/322281/168751","Ficha Técnica")</f>
        <v>Ficha Técnica</v>
      </c>
      <c r="H1610" s="58" t="s">
        <v>2099</v>
      </c>
      <c r="I1610" s="164"/>
      <c r="J1610" s="206"/>
      <c r="K1610" s="164"/>
      <c r="L1610" s="58"/>
      <c r="M1610" s="188">
        <v>23.1</v>
      </c>
      <c r="N1610" s="169" t="s">
        <v>11</v>
      </c>
    </row>
    <row r="1611" spans="1:14" x14ac:dyDescent="0.25">
      <c r="A1611" s="66" t="s">
        <v>315</v>
      </c>
      <c r="B1611" s="69" t="s">
        <v>316</v>
      </c>
      <c r="C1611" s="51"/>
      <c r="D1611" s="120"/>
      <c r="E1611" s="121"/>
      <c r="F1611" s="12"/>
      <c r="G1611" s="157"/>
      <c r="H1611" s="49"/>
      <c r="I1611" s="165"/>
      <c r="J1611" s="49"/>
      <c r="K1611" s="165"/>
      <c r="L1611" s="49"/>
      <c r="M1611" s="191"/>
      <c r="N1611" s="65"/>
    </row>
    <row r="1612" spans="1:14" x14ac:dyDescent="0.25">
      <c r="A1612" s="63" t="s">
        <v>315</v>
      </c>
      <c r="B1612" s="71" t="s">
        <v>3432</v>
      </c>
      <c r="C1612" s="4">
        <v>4099854140068</v>
      </c>
      <c r="D1612" s="90"/>
      <c r="E1612" s="91"/>
      <c r="G1612" s="156" t="str">
        <f>HYPERLINK("https://ledvance.com/pt/product-datasheet/270204/260300","Ficha Técnica")</f>
        <v>Ficha Técnica</v>
      </c>
      <c r="H1612" s="15">
        <v>2</v>
      </c>
      <c r="I1612" s="163">
        <v>4600</v>
      </c>
      <c r="J1612" s="15">
        <v>40</v>
      </c>
      <c r="K1612" s="163" t="s">
        <v>317</v>
      </c>
      <c r="L1612" s="15">
        <v>5</v>
      </c>
      <c r="M1612" s="188">
        <v>246.1</v>
      </c>
      <c r="N1612" s="169" t="s">
        <v>11</v>
      </c>
    </row>
    <row r="1613" spans="1:14" x14ac:dyDescent="0.25">
      <c r="A1613" s="63" t="s">
        <v>315</v>
      </c>
      <c r="B1613" s="71" t="s">
        <v>3433</v>
      </c>
      <c r="C1613" s="4">
        <v>4099854140228</v>
      </c>
      <c r="D1613" s="90"/>
      <c r="E1613" s="91"/>
      <c r="G1613" s="156" t="str">
        <f>HYPERLINK("https://ledvance.com/pt/product-datasheet/270204/260312","Ficha Técnica")</f>
        <v>Ficha Técnica</v>
      </c>
      <c r="H1613" s="15">
        <v>2</v>
      </c>
      <c r="I1613" s="163">
        <v>4100</v>
      </c>
      <c r="J1613" s="15">
        <v>40</v>
      </c>
      <c r="K1613" s="163" t="s">
        <v>317</v>
      </c>
      <c r="L1613" s="15">
        <v>5</v>
      </c>
      <c r="M1613" s="188">
        <v>277.2</v>
      </c>
      <c r="N1613" s="169" t="s">
        <v>11</v>
      </c>
    </row>
    <row r="1614" spans="1:14" x14ac:dyDescent="0.25">
      <c r="A1614" s="63" t="s">
        <v>315</v>
      </c>
      <c r="B1614" s="71" t="s">
        <v>3434</v>
      </c>
      <c r="C1614" s="4">
        <v>4099854140310</v>
      </c>
      <c r="D1614" s="90"/>
      <c r="E1614" s="91"/>
      <c r="G1614" s="156" t="str">
        <f>HYPERLINK("https://ledvance.com/pt/product-datasheet/270205/260316","Ficha Técnica")</f>
        <v>Ficha Técnica</v>
      </c>
      <c r="H1614" s="15">
        <v>4</v>
      </c>
      <c r="I1614" s="163">
        <v>2200</v>
      </c>
      <c r="J1614" s="15">
        <v>21</v>
      </c>
      <c r="K1614" s="163" t="s">
        <v>46</v>
      </c>
      <c r="L1614" s="15">
        <v>5</v>
      </c>
      <c r="M1614" s="188">
        <v>199.3</v>
      </c>
      <c r="N1614" s="169" t="s">
        <v>11</v>
      </c>
    </row>
    <row r="1615" spans="1:14" x14ac:dyDescent="0.25">
      <c r="A1615" s="66" t="s">
        <v>315</v>
      </c>
      <c r="B1615" s="69" t="s">
        <v>318</v>
      </c>
      <c r="C1615" s="51"/>
      <c r="D1615" s="120"/>
      <c r="E1615" s="121"/>
      <c r="F1615" s="12"/>
      <c r="G1615" s="157"/>
      <c r="H1615" s="49"/>
      <c r="I1615" s="165"/>
      <c r="J1615" s="49"/>
      <c r="K1615" s="165"/>
      <c r="L1615" s="49"/>
      <c r="M1615" s="191"/>
      <c r="N1615" s="65"/>
    </row>
    <row r="1616" spans="1:14" x14ac:dyDescent="0.25">
      <c r="A1616" s="63" t="s">
        <v>315</v>
      </c>
      <c r="B1616" s="71" t="s">
        <v>319</v>
      </c>
      <c r="C1616" s="2">
        <v>4058075724624</v>
      </c>
      <c r="D1616" s="84"/>
      <c r="E1616" s="85"/>
      <c r="F1616" s="16"/>
      <c r="G1616" s="156" t="str">
        <f>HYPERLINK("https://ledvance.com/pt/product-datasheet/317001/209781","Ficha Técnica")</f>
        <v>Ficha Técnica</v>
      </c>
      <c r="H1616" s="15">
        <v>2</v>
      </c>
      <c r="I1616" s="163"/>
      <c r="J1616" s="15">
        <v>1</v>
      </c>
      <c r="K1616" s="163" t="s">
        <v>46</v>
      </c>
      <c r="L1616" s="15">
        <v>5</v>
      </c>
      <c r="M1616" s="188">
        <v>995.5</v>
      </c>
      <c r="N1616" s="169" t="s">
        <v>11</v>
      </c>
    </row>
    <row r="1617" spans="1:14" x14ac:dyDescent="0.25">
      <c r="A1617" s="63" t="s">
        <v>315</v>
      </c>
      <c r="B1617" s="71" t="s">
        <v>3435</v>
      </c>
      <c r="C1617" s="2">
        <v>4058075724549</v>
      </c>
      <c r="D1617" s="84"/>
      <c r="E1617" s="85"/>
      <c r="F1617" s="16"/>
      <c r="G1617" s="156" t="str">
        <f>HYPERLINK("https://ledvance.com/pt/product-datasheet/317004/227899","Ficha Técnica")</f>
        <v>Ficha Técnica</v>
      </c>
      <c r="H1617" s="15">
        <v>2</v>
      </c>
      <c r="I1617" s="163">
        <v>4400</v>
      </c>
      <c r="J1617" s="15">
        <v>40</v>
      </c>
      <c r="K1617" s="163" t="s">
        <v>317</v>
      </c>
      <c r="L1617" s="15">
        <v>5</v>
      </c>
      <c r="M1617" s="188">
        <v>277.2</v>
      </c>
      <c r="N1617" s="169" t="s">
        <v>11</v>
      </c>
    </row>
    <row r="1618" spans="1:14" x14ac:dyDescent="0.25">
      <c r="A1618" s="63" t="s">
        <v>315</v>
      </c>
      <c r="B1618" s="71" t="s">
        <v>3436</v>
      </c>
      <c r="C1618" s="2">
        <v>4058075724587</v>
      </c>
      <c r="D1618" s="84"/>
      <c r="E1618" s="85"/>
      <c r="F1618" s="16"/>
      <c r="G1618" s="156" t="str">
        <f>HYPERLINK("https://ledvance.com/pt/product-datasheet/317004/227905","Ficha Técnica")</f>
        <v>Ficha Técnica</v>
      </c>
      <c r="H1618" s="15">
        <v>2</v>
      </c>
      <c r="I1618" s="163">
        <v>4100</v>
      </c>
      <c r="J1618" s="15">
        <v>37</v>
      </c>
      <c r="K1618" s="163" t="s">
        <v>317</v>
      </c>
      <c r="L1618" s="15">
        <v>5</v>
      </c>
      <c r="M1618" s="188">
        <v>277.2</v>
      </c>
      <c r="N1618" s="169" t="s">
        <v>11</v>
      </c>
    </row>
    <row r="1619" spans="1:14" x14ac:dyDescent="0.25">
      <c r="A1619" s="63" t="s">
        <v>315</v>
      </c>
      <c r="B1619" s="71" t="s">
        <v>3437</v>
      </c>
      <c r="C1619" s="2">
        <v>4058075724600</v>
      </c>
      <c r="D1619" s="84"/>
      <c r="E1619" s="85"/>
      <c r="F1619" s="16"/>
      <c r="G1619" s="156" t="str">
        <f>HYPERLINK("","Ficha Técnica")</f>
        <v>Ficha Técnica</v>
      </c>
      <c r="H1619" s="15"/>
      <c r="I1619" s="163"/>
      <c r="J1619" s="15"/>
      <c r="K1619" s="163"/>
      <c r="L1619" s="15"/>
      <c r="M1619" s="188">
        <v>306.3</v>
      </c>
      <c r="N1619" s="169" t="s">
        <v>11</v>
      </c>
    </row>
    <row r="1620" spans="1:14" x14ac:dyDescent="0.25">
      <c r="A1620" s="63" t="s">
        <v>315</v>
      </c>
      <c r="B1620" s="71" t="s">
        <v>3438</v>
      </c>
      <c r="C1620" s="2">
        <v>4058075671270</v>
      </c>
      <c r="D1620" s="84"/>
      <c r="E1620" s="85"/>
      <c r="F1620" s="17"/>
      <c r="G1620" s="156" t="str">
        <f>HYPERLINK("https://ledvance.com/pt/product-datasheet/317008/167859","Ficha Técnica")</f>
        <v>Ficha Técnica</v>
      </c>
      <c r="H1620" s="15">
        <v>4</v>
      </c>
      <c r="I1620" s="163">
        <v>9140</v>
      </c>
      <c r="J1620" s="15">
        <v>108</v>
      </c>
      <c r="K1620" s="163" t="s">
        <v>320</v>
      </c>
      <c r="L1620" s="15">
        <v>5</v>
      </c>
      <c r="M1620" s="188">
        <v>531.6</v>
      </c>
      <c r="N1620" s="169" t="s">
        <v>11</v>
      </c>
    </row>
    <row r="1621" spans="1:14" x14ac:dyDescent="0.25">
      <c r="A1621" s="63" t="s">
        <v>315</v>
      </c>
      <c r="B1621" s="71" t="s">
        <v>3439</v>
      </c>
      <c r="C1621" s="2">
        <v>4058075671294</v>
      </c>
      <c r="D1621" s="84"/>
      <c r="E1621" s="85"/>
      <c r="F1621" s="17"/>
      <c r="G1621" s="156" t="str">
        <f>HYPERLINK("https://ledvance.com/pt/product-datasheet/317008/167862","Ficha Técnica")</f>
        <v>Ficha Técnica</v>
      </c>
      <c r="H1621" s="15">
        <v>4</v>
      </c>
      <c r="I1621" s="163">
        <v>8450</v>
      </c>
      <c r="J1621" s="15">
        <v>108</v>
      </c>
      <c r="K1621" s="163" t="s">
        <v>288</v>
      </c>
      <c r="L1621" s="15">
        <v>5</v>
      </c>
      <c r="M1621" s="188">
        <v>553.6</v>
      </c>
      <c r="N1621" s="169" t="s">
        <v>11</v>
      </c>
    </row>
    <row r="1622" spans="1:14" ht="23.25" x14ac:dyDescent="0.25">
      <c r="A1622" s="66"/>
      <c r="B1622" s="181" t="s">
        <v>321</v>
      </c>
      <c r="C1622" s="52"/>
      <c r="D1622" s="122"/>
      <c r="E1622" s="123"/>
      <c r="F1622" s="12"/>
      <c r="G1622" s="157"/>
      <c r="H1622" s="12"/>
      <c r="I1622" s="62"/>
      <c r="J1622" s="27"/>
      <c r="K1622" s="62"/>
      <c r="L1622" s="12"/>
      <c r="M1622" s="191"/>
      <c r="N1622" s="65"/>
    </row>
    <row r="1623" spans="1:14" x14ac:dyDescent="0.25">
      <c r="A1623" s="66" t="s">
        <v>322</v>
      </c>
      <c r="B1623" s="79" t="s">
        <v>2176</v>
      </c>
      <c r="C1623" s="52"/>
      <c r="D1623" s="122"/>
      <c r="E1623" s="123"/>
      <c r="F1623" s="12"/>
      <c r="G1623" s="157"/>
      <c r="H1623" s="49"/>
      <c r="I1623" s="165"/>
      <c r="J1623" s="49"/>
      <c r="K1623" s="165"/>
      <c r="L1623" s="49"/>
      <c r="M1623" s="191"/>
      <c r="N1623" s="65"/>
    </row>
    <row r="1624" spans="1:14" x14ac:dyDescent="0.25">
      <c r="A1624" s="63" t="s">
        <v>322</v>
      </c>
      <c r="B1624" s="71" t="s">
        <v>323</v>
      </c>
      <c r="C1624" s="2">
        <v>4058075436084</v>
      </c>
      <c r="D1624" s="84"/>
      <c r="E1624" s="85"/>
      <c r="F1624" s="17"/>
      <c r="G1624" s="156" t="str">
        <f>HYPERLINK("https://ledvance.com/pt/product-datasheet/8376/46623","Ficha Técnica")</f>
        <v>Ficha Técnica</v>
      </c>
      <c r="H1624" s="15">
        <v>10</v>
      </c>
      <c r="I1624" s="163">
        <v>9140</v>
      </c>
      <c r="J1624" s="15">
        <v>108</v>
      </c>
      <c r="K1624" s="163" t="s">
        <v>320</v>
      </c>
      <c r="L1624" s="15">
        <v>5</v>
      </c>
      <c r="M1624" s="188">
        <v>186.9</v>
      </c>
      <c r="N1624" s="169" t="s">
        <v>11</v>
      </c>
    </row>
    <row r="1625" spans="1:14" x14ac:dyDescent="0.25">
      <c r="A1625" s="63" t="s">
        <v>322</v>
      </c>
      <c r="B1625" s="71" t="s">
        <v>324</v>
      </c>
      <c r="C1625" s="2">
        <v>4058075436008</v>
      </c>
      <c r="D1625" s="84"/>
      <c r="E1625" s="85"/>
      <c r="F1625" s="17"/>
      <c r="G1625" s="156" t="str">
        <f>HYPERLINK("https://ledvance.com/pt/product-datasheet/8377/46928","Ficha Técnica")</f>
        <v>Ficha Técnica</v>
      </c>
      <c r="H1625" s="15">
        <v>10</v>
      </c>
      <c r="I1625" s="163">
        <v>8450</v>
      </c>
      <c r="J1625" s="15">
        <v>108</v>
      </c>
      <c r="K1625" s="163" t="s">
        <v>288</v>
      </c>
      <c r="L1625" s="15">
        <v>5</v>
      </c>
      <c r="M1625" s="188">
        <v>293.60000000000002</v>
      </c>
      <c r="N1625" s="169" t="s">
        <v>11</v>
      </c>
    </row>
    <row r="1626" spans="1:14" x14ac:dyDescent="0.25">
      <c r="A1626" s="66" t="s">
        <v>322</v>
      </c>
      <c r="B1626" s="79" t="s">
        <v>2180</v>
      </c>
      <c r="C1626" s="52"/>
      <c r="D1626" s="122"/>
      <c r="E1626" s="123"/>
      <c r="F1626" s="12"/>
      <c r="G1626" s="157"/>
      <c r="H1626" s="49"/>
      <c r="I1626" s="165"/>
      <c r="J1626" s="49"/>
      <c r="K1626" s="165"/>
      <c r="L1626" s="49"/>
      <c r="M1626" s="191"/>
      <c r="N1626" s="65"/>
    </row>
    <row r="1627" spans="1:14" x14ac:dyDescent="0.25">
      <c r="A1627" s="63" t="s">
        <v>322</v>
      </c>
      <c r="B1627" s="71" t="s">
        <v>325</v>
      </c>
      <c r="C1627" s="60">
        <v>4058075597525</v>
      </c>
      <c r="D1627" s="124"/>
      <c r="E1627" s="125"/>
      <c r="F1627" s="17"/>
      <c r="G1627" s="156" t="str">
        <f>HYPERLINK("https://ledvance.com/pt/product-datasheet/167621/140465","Ficha Técnica")</f>
        <v>Ficha Técnica</v>
      </c>
      <c r="H1627" s="15">
        <v>10</v>
      </c>
      <c r="I1627" s="163">
        <v>2850</v>
      </c>
      <c r="J1627" s="15">
        <v>38</v>
      </c>
      <c r="K1627" s="163" t="s">
        <v>320</v>
      </c>
      <c r="L1627" s="15">
        <v>5</v>
      </c>
      <c r="M1627" s="188">
        <v>172.7</v>
      </c>
      <c r="N1627" s="169" t="s">
        <v>11</v>
      </c>
    </row>
    <row r="1628" spans="1:14" x14ac:dyDescent="0.25">
      <c r="A1628" s="63" t="s">
        <v>322</v>
      </c>
      <c r="B1628" s="71" t="s">
        <v>326</v>
      </c>
      <c r="C1628" s="60">
        <v>4058075597532</v>
      </c>
      <c r="D1628" s="124"/>
      <c r="E1628" s="125"/>
      <c r="F1628" s="17"/>
      <c r="G1628" s="156" t="str">
        <f>HYPERLINK("https://ledvance.com/pt/product-datasheet/167621/140469","Ficha Técnica")</f>
        <v>Ficha Técnica</v>
      </c>
      <c r="H1628" s="15">
        <v>10</v>
      </c>
      <c r="I1628" s="163">
        <v>3100</v>
      </c>
      <c r="J1628" s="15">
        <v>38</v>
      </c>
      <c r="K1628" s="163" t="s">
        <v>320</v>
      </c>
      <c r="L1628" s="15">
        <v>5</v>
      </c>
      <c r="M1628" s="188">
        <v>172.7</v>
      </c>
      <c r="N1628" s="169" t="s">
        <v>11</v>
      </c>
    </row>
    <row r="1629" spans="1:14" x14ac:dyDescent="0.25">
      <c r="A1629" s="63" t="s">
        <v>322</v>
      </c>
      <c r="B1629" s="71" t="s">
        <v>327</v>
      </c>
      <c r="C1629" s="60">
        <v>4058075597549</v>
      </c>
      <c r="D1629" s="124"/>
      <c r="E1629" s="125"/>
      <c r="F1629" s="17"/>
      <c r="G1629" s="156" t="str">
        <f>HYPERLINK("https://ledvance.com/pt/product-datasheet/167621/140473","Ficha Técnica")</f>
        <v>Ficha Técnica</v>
      </c>
      <c r="H1629" s="15">
        <v>10</v>
      </c>
      <c r="I1629" s="163">
        <v>3300</v>
      </c>
      <c r="J1629" s="15">
        <v>38</v>
      </c>
      <c r="K1629" s="163" t="s">
        <v>320</v>
      </c>
      <c r="L1629" s="15">
        <v>5</v>
      </c>
      <c r="M1629" s="188">
        <v>172.7</v>
      </c>
      <c r="N1629" s="169" t="s">
        <v>11</v>
      </c>
    </row>
    <row r="1630" spans="1:14" x14ac:dyDescent="0.25">
      <c r="A1630" s="63" t="s">
        <v>322</v>
      </c>
      <c r="B1630" s="71" t="s">
        <v>328</v>
      </c>
      <c r="C1630" s="60">
        <v>4058075597556</v>
      </c>
      <c r="D1630" s="124"/>
      <c r="E1630" s="125"/>
      <c r="F1630" s="17"/>
      <c r="G1630" s="156" t="str">
        <f>HYPERLINK("https://ledvance.com/pt/product-datasheet/167621/140477","Ficha Técnica")</f>
        <v>Ficha Técnica</v>
      </c>
      <c r="H1630" s="15">
        <v>10</v>
      </c>
      <c r="I1630" s="163">
        <v>3500</v>
      </c>
      <c r="J1630" s="15">
        <v>38</v>
      </c>
      <c r="K1630" s="163" t="s">
        <v>320</v>
      </c>
      <c r="L1630" s="15">
        <v>5</v>
      </c>
      <c r="M1630" s="188">
        <v>172.7</v>
      </c>
      <c r="N1630" s="169" t="s">
        <v>11</v>
      </c>
    </row>
    <row r="1631" spans="1:14" x14ac:dyDescent="0.25">
      <c r="A1631" s="66" t="s">
        <v>322</v>
      </c>
      <c r="B1631" s="79" t="s">
        <v>2179</v>
      </c>
      <c r="C1631" s="52"/>
      <c r="D1631" s="122"/>
      <c r="E1631" s="123"/>
      <c r="F1631" s="12"/>
      <c r="G1631" s="157"/>
      <c r="H1631" s="49"/>
      <c r="I1631" s="165"/>
      <c r="J1631" s="49"/>
      <c r="K1631" s="165"/>
      <c r="L1631" s="49"/>
      <c r="M1631" s="191"/>
      <c r="N1631" s="65"/>
    </row>
    <row r="1632" spans="1:14" x14ac:dyDescent="0.25">
      <c r="A1632" s="63" t="s">
        <v>322</v>
      </c>
      <c r="B1632" s="71" t="s">
        <v>329</v>
      </c>
      <c r="C1632" s="2">
        <v>4058075707474</v>
      </c>
      <c r="D1632" s="84"/>
      <c r="E1632" s="85"/>
      <c r="F1632" s="17"/>
      <c r="G1632" s="156" t="str">
        <f>HYPERLINK("https://ledvance.com/pt/product-datasheet/199426/184107","Ficha Técnica")</f>
        <v>Ficha Técnica</v>
      </c>
      <c r="H1632" s="15">
        <v>30</v>
      </c>
      <c r="I1632" s="163">
        <v>2265</v>
      </c>
      <c r="J1632" s="15">
        <v>21</v>
      </c>
      <c r="K1632" s="163" t="s">
        <v>320</v>
      </c>
      <c r="L1632" s="15">
        <v>5</v>
      </c>
      <c r="M1632" s="188">
        <v>71.7</v>
      </c>
      <c r="N1632" s="169" t="s">
        <v>11</v>
      </c>
    </row>
    <row r="1633" spans="1:14" x14ac:dyDescent="0.25">
      <c r="A1633" s="63" t="s">
        <v>322</v>
      </c>
      <c r="B1633" s="71" t="s">
        <v>330</v>
      </c>
      <c r="C1633" s="2">
        <v>4058075707498</v>
      </c>
      <c r="D1633" s="84"/>
      <c r="E1633" s="85"/>
      <c r="F1633" s="17"/>
      <c r="G1633" s="156" t="str">
        <f>HYPERLINK("https://ledvance.com/pt/product-datasheet/199426/184110","Ficha Técnica")</f>
        <v>Ficha Técnica</v>
      </c>
      <c r="H1633" s="15">
        <v>30</v>
      </c>
      <c r="I1633" s="163">
        <v>2310</v>
      </c>
      <c r="J1633" s="15">
        <v>21</v>
      </c>
      <c r="K1633" s="163" t="s">
        <v>320</v>
      </c>
      <c r="L1633" s="15">
        <v>5</v>
      </c>
      <c r="M1633" s="188">
        <v>71.7</v>
      </c>
      <c r="N1633" s="169" t="s">
        <v>11</v>
      </c>
    </row>
    <row r="1634" spans="1:14" x14ac:dyDescent="0.25">
      <c r="A1634" s="63" t="s">
        <v>322</v>
      </c>
      <c r="B1634" s="71" t="s">
        <v>331</v>
      </c>
      <c r="C1634" s="2">
        <v>4058075707511</v>
      </c>
      <c r="D1634" s="84"/>
      <c r="E1634" s="85"/>
      <c r="F1634" s="17"/>
      <c r="G1634" s="156" t="str">
        <f>HYPERLINK("https://ledvance.com/pt/product-datasheet/199426/184113","Ficha Técnica")</f>
        <v>Ficha Técnica</v>
      </c>
      <c r="H1634" s="15">
        <v>30</v>
      </c>
      <c r="I1634" s="163">
        <v>2455</v>
      </c>
      <c r="J1634" s="15">
        <v>21</v>
      </c>
      <c r="K1634" s="163" t="s">
        <v>320</v>
      </c>
      <c r="L1634" s="15">
        <v>5</v>
      </c>
      <c r="M1634" s="188">
        <v>71.7</v>
      </c>
      <c r="N1634" s="169" t="s">
        <v>11</v>
      </c>
    </row>
    <row r="1635" spans="1:14" x14ac:dyDescent="0.25">
      <c r="A1635" s="63" t="s">
        <v>322</v>
      </c>
      <c r="B1635" s="71" t="s">
        <v>332</v>
      </c>
      <c r="C1635" s="2">
        <v>4058075707535</v>
      </c>
      <c r="D1635" s="84"/>
      <c r="E1635" s="85"/>
      <c r="F1635" s="17"/>
      <c r="G1635" s="156" t="str">
        <f>HYPERLINK("https://ledvance.com/pt/product-datasheet/199426/184116","Ficha Técnica")</f>
        <v>Ficha Técnica</v>
      </c>
      <c r="H1635" s="15">
        <v>30</v>
      </c>
      <c r="I1635" s="163">
        <v>2455</v>
      </c>
      <c r="J1635" s="15">
        <v>21</v>
      </c>
      <c r="K1635" s="163" t="s">
        <v>320</v>
      </c>
      <c r="L1635" s="15">
        <v>5</v>
      </c>
      <c r="M1635" s="188">
        <v>71.7</v>
      </c>
      <c r="N1635" s="169" t="s">
        <v>11</v>
      </c>
    </row>
    <row r="1636" spans="1:14" x14ac:dyDescent="0.25">
      <c r="A1636" s="63" t="s">
        <v>322</v>
      </c>
      <c r="B1636" s="71" t="s">
        <v>333</v>
      </c>
      <c r="C1636" s="2">
        <v>4058075707559</v>
      </c>
      <c r="D1636" s="84"/>
      <c r="E1636" s="85"/>
      <c r="F1636" s="17"/>
      <c r="G1636" s="156" t="str">
        <f>HYPERLINK("https://ledvance.com/pt/product-datasheet/199427/184119","Ficha Técnica")</f>
        <v>Ficha Técnica</v>
      </c>
      <c r="H1636" s="15">
        <v>30</v>
      </c>
      <c r="I1636" s="163">
        <v>4645</v>
      </c>
      <c r="J1636" s="15">
        <v>43</v>
      </c>
      <c r="K1636" s="163" t="s">
        <v>320</v>
      </c>
      <c r="L1636" s="15">
        <v>5</v>
      </c>
      <c r="M1636" s="188">
        <v>75</v>
      </c>
      <c r="N1636" s="169" t="s">
        <v>11</v>
      </c>
    </row>
    <row r="1637" spans="1:14" x14ac:dyDescent="0.25">
      <c r="A1637" s="63" t="s">
        <v>322</v>
      </c>
      <c r="B1637" s="71" t="s">
        <v>334</v>
      </c>
      <c r="C1637" s="2">
        <v>4058075707573</v>
      </c>
      <c r="D1637" s="84"/>
      <c r="E1637" s="85"/>
      <c r="F1637" s="17"/>
      <c r="G1637" s="156" t="str">
        <f>HYPERLINK("https://ledvance.com/pt/product-datasheet/199427/184122","Ficha Técnica")</f>
        <v>Ficha Técnica</v>
      </c>
      <c r="H1637" s="15">
        <v>30</v>
      </c>
      <c r="I1637" s="163">
        <v>4730</v>
      </c>
      <c r="J1637" s="15">
        <v>43</v>
      </c>
      <c r="K1637" s="163" t="s">
        <v>320</v>
      </c>
      <c r="L1637" s="15">
        <v>5</v>
      </c>
      <c r="M1637" s="188">
        <v>75</v>
      </c>
      <c r="N1637" s="169" t="s">
        <v>11</v>
      </c>
    </row>
    <row r="1638" spans="1:14" x14ac:dyDescent="0.25">
      <c r="A1638" s="63" t="s">
        <v>322</v>
      </c>
      <c r="B1638" s="71" t="s">
        <v>335</v>
      </c>
      <c r="C1638" s="2">
        <v>4058075707597</v>
      </c>
      <c r="D1638" s="84"/>
      <c r="E1638" s="85"/>
      <c r="F1638" s="17"/>
      <c r="G1638" s="156" t="str">
        <f>HYPERLINK("https://ledvance.com/pt/product-datasheet/199427/184125","Ficha Técnica")</f>
        <v>Ficha Técnica</v>
      </c>
      <c r="H1638" s="15">
        <v>30</v>
      </c>
      <c r="I1638" s="163">
        <v>5030</v>
      </c>
      <c r="J1638" s="15">
        <v>43</v>
      </c>
      <c r="K1638" s="163" t="s">
        <v>320</v>
      </c>
      <c r="L1638" s="15">
        <v>5</v>
      </c>
      <c r="M1638" s="188">
        <v>75</v>
      </c>
      <c r="N1638" s="169" t="s">
        <v>11</v>
      </c>
    </row>
    <row r="1639" spans="1:14" x14ac:dyDescent="0.25">
      <c r="A1639" s="63" t="s">
        <v>322</v>
      </c>
      <c r="B1639" s="71" t="s">
        <v>336</v>
      </c>
      <c r="C1639" s="2">
        <v>4058075707610</v>
      </c>
      <c r="D1639" s="84"/>
      <c r="E1639" s="85"/>
      <c r="F1639" s="17"/>
      <c r="G1639" s="156" t="str">
        <f>HYPERLINK("https://ledvance.com/pt/product-datasheet/199427/184128","Ficha Técnica")</f>
        <v>Ficha Técnica</v>
      </c>
      <c r="H1639" s="15">
        <v>30</v>
      </c>
      <c r="I1639" s="163">
        <v>5030</v>
      </c>
      <c r="J1639" s="15">
        <v>43</v>
      </c>
      <c r="K1639" s="163" t="s">
        <v>320</v>
      </c>
      <c r="L1639" s="15">
        <v>5</v>
      </c>
      <c r="M1639" s="188">
        <v>75</v>
      </c>
      <c r="N1639" s="169" t="s">
        <v>11</v>
      </c>
    </row>
    <row r="1640" spans="1:14" x14ac:dyDescent="0.25">
      <c r="A1640" s="63" t="s">
        <v>322</v>
      </c>
      <c r="B1640" s="71" t="s">
        <v>337</v>
      </c>
      <c r="C1640" s="2">
        <v>4058075707634</v>
      </c>
      <c r="D1640" s="84"/>
      <c r="E1640" s="85"/>
      <c r="F1640" s="17"/>
      <c r="G1640" s="156" t="str">
        <f>HYPERLINK("https://ledvance.com/pt/product-datasheet/199428/184131","Ficha Técnica")</f>
        <v>Ficha Técnica</v>
      </c>
      <c r="H1640" s="15">
        <v>30</v>
      </c>
      <c r="I1640" s="163">
        <v>6480</v>
      </c>
      <c r="J1640" s="15">
        <v>60</v>
      </c>
      <c r="K1640" s="163" t="s">
        <v>320</v>
      </c>
      <c r="L1640" s="15">
        <v>5</v>
      </c>
      <c r="M1640" s="188">
        <v>97.7</v>
      </c>
      <c r="N1640" s="169" t="s">
        <v>11</v>
      </c>
    </row>
    <row r="1641" spans="1:14" x14ac:dyDescent="0.25">
      <c r="A1641" s="63" t="s">
        <v>322</v>
      </c>
      <c r="B1641" s="71" t="s">
        <v>338</v>
      </c>
      <c r="C1641" s="2">
        <v>4058075707658</v>
      </c>
      <c r="D1641" s="84"/>
      <c r="E1641" s="85"/>
      <c r="F1641" s="17"/>
      <c r="G1641" s="156" t="str">
        <f>HYPERLINK("https://ledvance.com/pt/product-datasheet/199428/184134","Ficha Técnica")</f>
        <v>Ficha Técnica</v>
      </c>
      <c r="H1641" s="15">
        <v>30</v>
      </c>
      <c r="I1641" s="163">
        <v>6600</v>
      </c>
      <c r="J1641" s="15">
        <v>60</v>
      </c>
      <c r="K1641" s="163" t="s">
        <v>320</v>
      </c>
      <c r="L1641" s="15">
        <v>5</v>
      </c>
      <c r="M1641" s="188">
        <v>97.7</v>
      </c>
      <c r="N1641" s="169" t="s">
        <v>11</v>
      </c>
    </row>
    <row r="1642" spans="1:14" x14ac:dyDescent="0.25">
      <c r="A1642" s="63" t="s">
        <v>322</v>
      </c>
      <c r="B1642" s="71" t="s">
        <v>339</v>
      </c>
      <c r="C1642" s="2">
        <v>4058075707672</v>
      </c>
      <c r="D1642" s="84"/>
      <c r="E1642" s="85"/>
      <c r="F1642" s="17"/>
      <c r="G1642" s="156" t="str">
        <f>HYPERLINK("https://ledvance.com/pt/product-datasheet/199428/184137","Ficha Técnica")</f>
        <v>Ficha Técnica</v>
      </c>
      <c r="H1642" s="15">
        <v>30</v>
      </c>
      <c r="I1642" s="163">
        <v>7020</v>
      </c>
      <c r="J1642" s="15">
        <v>60</v>
      </c>
      <c r="K1642" s="163" t="s">
        <v>320</v>
      </c>
      <c r="L1642" s="15">
        <v>5</v>
      </c>
      <c r="M1642" s="188">
        <v>97.7</v>
      </c>
      <c r="N1642" s="169" t="s">
        <v>11</v>
      </c>
    </row>
    <row r="1643" spans="1:14" x14ac:dyDescent="0.25">
      <c r="A1643" s="63" t="s">
        <v>322</v>
      </c>
      <c r="B1643" s="71" t="s">
        <v>340</v>
      </c>
      <c r="C1643" s="2">
        <v>4058075707696</v>
      </c>
      <c r="D1643" s="84"/>
      <c r="E1643" s="85"/>
      <c r="F1643" s="17"/>
      <c r="G1643" s="156" t="str">
        <f>HYPERLINK("https://ledvance.com/pt/product-datasheet/199428/184140","Ficha Técnica")</f>
        <v>Ficha Técnica</v>
      </c>
      <c r="H1643" s="15">
        <v>30</v>
      </c>
      <c r="I1643" s="163">
        <v>7020</v>
      </c>
      <c r="J1643" s="15">
        <v>60</v>
      </c>
      <c r="K1643" s="163" t="s">
        <v>320</v>
      </c>
      <c r="L1643" s="15">
        <v>5</v>
      </c>
      <c r="M1643" s="188">
        <v>97.7</v>
      </c>
      <c r="N1643" s="169" t="s">
        <v>11</v>
      </c>
    </row>
    <row r="1644" spans="1:14" x14ac:dyDescent="0.25">
      <c r="A1644" s="63" t="s">
        <v>322</v>
      </c>
      <c r="B1644" s="71" t="s">
        <v>341</v>
      </c>
      <c r="C1644" s="2">
        <v>4058075707719</v>
      </c>
      <c r="D1644" s="84"/>
      <c r="E1644" s="85"/>
      <c r="F1644" s="17"/>
      <c r="G1644" s="156" t="str">
        <f>HYPERLINK("https://ledvance.com/pt/product-datasheet/199429/184143","Ficha Técnica")</f>
        <v>Ficha Técnica</v>
      </c>
      <c r="H1644" s="15">
        <v>30</v>
      </c>
      <c r="I1644" s="163">
        <v>8420</v>
      </c>
      <c r="J1644" s="15">
        <v>78</v>
      </c>
      <c r="K1644" s="163" t="s">
        <v>320</v>
      </c>
      <c r="L1644" s="15">
        <v>5</v>
      </c>
      <c r="M1644" s="188">
        <v>107.5</v>
      </c>
      <c r="N1644" s="169" t="s">
        <v>11</v>
      </c>
    </row>
    <row r="1645" spans="1:14" x14ac:dyDescent="0.25">
      <c r="A1645" s="63" t="s">
        <v>322</v>
      </c>
      <c r="B1645" s="71" t="s">
        <v>342</v>
      </c>
      <c r="C1645" s="2">
        <v>4058075707733</v>
      </c>
      <c r="D1645" s="84"/>
      <c r="E1645" s="85"/>
      <c r="F1645" s="17"/>
      <c r="G1645" s="156" t="str">
        <f>HYPERLINK("https://ledvance.com/pt/product-datasheet/199429/184146","Ficha Técnica")</f>
        <v>Ficha Técnica</v>
      </c>
      <c r="H1645" s="15">
        <v>30</v>
      </c>
      <c r="I1645" s="163">
        <v>8580</v>
      </c>
      <c r="J1645" s="15">
        <v>78</v>
      </c>
      <c r="K1645" s="163" t="s">
        <v>320</v>
      </c>
      <c r="L1645" s="15">
        <v>5</v>
      </c>
      <c r="M1645" s="188">
        <v>107.5</v>
      </c>
      <c r="N1645" s="169" t="s">
        <v>11</v>
      </c>
    </row>
    <row r="1646" spans="1:14" x14ac:dyDescent="0.25">
      <c r="A1646" s="63" t="s">
        <v>322</v>
      </c>
      <c r="B1646" s="71" t="s">
        <v>343</v>
      </c>
      <c r="C1646" s="2">
        <v>4058075707757</v>
      </c>
      <c r="D1646" s="84"/>
      <c r="E1646" s="85"/>
      <c r="F1646" s="17"/>
      <c r="G1646" s="156" t="str">
        <f>HYPERLINK("https://ledvance.com/pt/product-datasheet/199429/184149","Ficha Técnica")</f>
        <v>Ficha Técnica</v>
      </c>
      <c r="H1646" s="15">
        <v>30</v>
      </c>
      <c r="I1646" s="163">
        <v>9125</v>
      </c>
      <c r="J1646" s="15">
        <v>78</v>
      </c>
      <c r="K1646" s="163" t="s">
        <v>320</v>
      </c>
      <c r="L1646" s="15">
        <v>5</v>
      </c>
      <c r="M1646" s="188">
        <v>107.5</v>
      </c>
      <c r="N1646" s="169" t="s">
        <v>11</v>
      </c>
    </row>
    <row r="1647" spans="1:14" x14ac:dyDescent="0.25">
      <c r="A1647" s="63" t="s">
        <v>322</v>
      </c>
      <c r="B1647" s="71" t="s">
        <v>344</v>
      </c>
      <c r="C1647" s="2">
        <v>4058075707771</v>
      </c>
      <c r="D1647" s="84"/>
      <c r="E1647" s="85"/>
      <c r="F1647" s="17"/>
      <c r="G1647" s="156" t="str">
        <f>HYPERLINK("https://ledvance.com/pt/product-datasheet/199429/184152","Ficha Técnica")</f>
        <v>Ficha Técnica</v>
      </c>
      <c r="H1647" s="15">
        <v>30</v>
      </c>
      <c r="I1647" s="163">
        <v>9125</v>
      </c>
      <c r="J1647" s="15">
        <v>78</v>
      </c>
      <c r="K1647" s="163" t="s">
        <v>320</v>
      </c>
      <c r="L1647" s="15">
        <v>5</v>
      </c>
      <c r="M1647" s="188">
        <v>107.5</v>
      </c>
      <c r="N1647" s="169" t="s">
        <v>11</v>
      </c>
    </row>
    <row r="1648" spans="1:14" x14ac:dyDescent="0.25">
      <c r="A1648" s="66" t="s">
        <v>322</v>
      </c>
      <c r="B1648" s="79" t="s">
        <v>2177</v>
      </c>
      <c r="C1648" s="52"/>
      <c r="D1648" s="122"/>
      <c r="E1648" s="123"/>
      <c r="F1648" s="12"/>
      <c r="G1648" s="157"/>
      <c r="H1648" s="49"/>
      <c r="I1648" s="165"/>
      <c r="J1648" s="49"/>
      <c r="K1648" s="165"/>
      <c r="L1648" s="49"/>
      <c r="M1648" s="191"/>
      <c r="N1648" s="65"/>
    </row>
    <row r="1649" spans="1:14" x14ac:dyDescent="0.25">
      <c r="A1649" s="63" t="s">
        <v>322</v>
      </c>
      <c r="B1649" s="71" t="s">
        <v>345</v>
      </c>
      <c r="C1649" s="2">
        <v>4058075705838</v>
      </c>
      <c r="D1649" s="84"/>
      <c r="E1649" s="85"/>
      <c r="F1649" s="17"/>
      <c r="G1649" s="156" t="str">
        <f>HYPERLINK("https://ledvance.com/pt/product-datasheet/199430/183408","Ficha Técnica")</f>
        <v>Ficha Técnica</v>
      </c>
      <c r="H1649" s="15">
        <v>20</v>
      </c>
      <c r="I1649" s="163">
        <v>2185</v>
      </c>
      <c r="J1649" s="15">
        <v>21</v>
      </c>
      <c r="K1649" s="163" t="s">
        <v>288</v>
      </c>
      <c r="L1649" s="15">
        <v>5</v>
      </c>
      <c r="M1649" s="188">
        <v>91.3</v>
      </c>
      <c r="N1649" s="169" t="s">
        <v>11</v>
      </c>
    </row>
    <row r="1650" spans="1:14" x14ac:dyDescent="0.25">
      <c r="A1650" s="63" t="s">
        <v>322</v>
      </c>
      <c r="B1650" s="71" t="s">
        <v>346</v>
      </c>
      <c r="C1650" s="2">
        <v>4058075705852</v>
      </c>
      <c r="D1650" s="84"/>
      <c r="E1650" s="85"/>
      <c r="F1650" s="17"/>
      <c r="G1650" s="156" t="str">
        <f>HYPERLINK("https://ledvance.com/pt/product-datasheet/199430/183412","Ficha Técnica")</f>
        <v>Ficha Técnica</v>
      </c>
      <c r="H1650" s="15">
        <v>20</v>
      </c>
      <c r="I1650" s="163">
        <v>2220</v>
      </c>
      <c r="J1650" s="15">
        <v>21</v>
      </c>
      <c r="K1650" s="163" t="s">
        <v>288</v>
      </c>
      <c r="L1650" s="15">
        <v>5</v>
      </c>
      <c r="M1650" s="188">
        <v>91.3</v>
      </c>
      <c r="N1650" s="169" t="s">
        <v>11</v>
      </c>
    </row>
    <row r="1651" spans="1:14" x14ac:dyDescent="0.25">
      <c r="A1651" s="63" t="s">
        <v>322</v>
      </c>
      <c r="B1651" s="71" t="s">
        <v>347</v>
      </c>
      <c r="C1651" s="2">
        <v>4058075705876</v>
      </c>
      <c r="D1651" s="84"/>
      <c r="E1651" s="85"/>
      <c r="F1651" s="17"/>
      <c r="G1651" s="156" t="str">
        <f>HYPERLINK("https://ledvance.com/pt/product-datasheet/199430/183415","Ficha Técnica")</f>
        <v>Ficha Técnica</v>
      </c>
      <c r="H1651" s="15">
        <v>20</v>
      </c>
      <c r="I1651" s="163">
        <v>2360</v>
      </c>
      <c r="J1651" s="15">
        <v>21</v>
      </c>
      <c r="K1651" s="163" t="s">
        <v>288</v>
      </c>
      <c r="L1651" s="15">
        <v>5</v>
      </c>
      <c r="M1651" s="188">
        <v>91.3</v>
      </c>
      <c r="N1651" s="169" t="s">
        <v>11</v>
      </c>
    </row>
    <row r="1652" spans="1:14" x14ac:dyDescent="0.25">
      <c r="A1652" s="63" t="s">
        <v>322</v>
      </c>
      <c r="B1652" s="71" t="s">
        <v>348</v>
      </c>
      <c r="C1652" s="2">
        <v>4058075705890</v>
      </c>
      <c r="D1652" s="84"/>
      <c r="E1652" s="85"/>
      <c r="F1652" s="17"/>
      <c r="G1652" s="156" t="str">
        <f>HYPERLINK("https://ledvance.com/pt/product-datasheet/199430/183418","Ficha Técnica")</f>
        <v>Ficha Técnica</v>
      </c>
      <c r="H1652" s="15">
        <v>20</v>
      </c>
      <c r="I1652" s="163">
        <v>2360</v>
      </c>
      <c r="J1652" s="15">
        <v>21</v>
      </c>
      <c r="K1652" s="163" t="s">
        <v>288</v>
      </c>
      <c r="L1652" s="15">
        <v>5</v>
      </c>
      <c r="M1652" s="188">
        <v>91.3</v>
      </c>
      <c r="N1652" s="169" t="s">
        <v>11</v>
      </c>
    </row>
    <row r="1653" spans="1:14" x14ac:dyDescent="0.25">
      <c r="A1653" s="63" t="s">
        <v>322</v>
      </c>
      <c r="B1653" s="71" t="s">
        <v>349</v>
      </c>
      <c r="C1653" s="2">
        <v>4058075705913</v>
      </c>
      <c r="D1653" s="84"/>
      <c r="E1653" s="85"/>
      <c r="F1653" s="17"/>
      <c r="G1653" s="156" t="str">
        <f>HYPERLINK("https://ledvance.com/pt/product-datasheet/199431/183421","Ficha Técnica")</f>
        <v>Ficha Técnica</v>
      </c>
      <c r="H1653" s="15">
        <v>20</v>
      </c>
      <c r="I1653" s="163">
        <v>4365</v>
      </c>
      <c r="J1653" s="15">
        <v>43</v>
      </c>
      <c r="K1653" s="163" t="s">
        <v>288</v>
      </c>
      <c r="L1653" s="15">
        <v>5</v>
      </c>
      <c r="M1653" s="188">
        <v>101</v>
      </c>
      <c r="N1653" s="169" t="s">
        <v>11</v>
      </c>
    </row>
    <row r="1654" spans="1:14" x14ac:dyDescent="0.25">
      <c r="A1654" s="63" t="s">
        <v>322</v>
      </c>
      <c r="B1654" s="71" t="s">
        <v>350</v>
      </c>
      <c r="C1654" s="2">
        <v>4058075705937</v>
      </c>
      <c r="D1654" s="84"/>
      <c r="E1654" s="85"/>
      <c r="F1654" s="17"/>
      <c r="G1654" s="156" t="str">
        <f>HYPERLINK("https://ledvance.com/pt/product-datasheet/199431/183424","Ficha Técnica")</f>
        <v>Ficha Técnica</v>
      </c>
      <c r="H1654" s="15">
        <v>20</v>
      </c>
      <c r="I1654" s="163">
        <v>4440</v>
      </c>
      <c r="J1654" s="15">
        <v>43</v>
      </c>
      <c r="K1654" s="163" t="s">
        <v>288</v>
      </c>
      <c r="L1654" s="15">
        <v>5</v>
      </c>
      <c r="M1654" s="188">
        <v>101</v>
      </c>
      <c r="N1654" s="169" t="s">
        <v>11</v>
      </c>
    </row>
    <row r="1655" spans="1:14" x14ac:dyDescent="0.25">
      <c r="A1655" s="63" t="s">
        <v>322</v>
      </c>
      <c r="B1655" s="71" t="s">
        <v>351</v>
      </c>
      <c r="C1655" s="2">
        <v>4058075705951</v>
      </c>
      <c r="D1655" s="84"/>
      <c r="E1655" s="85"/>
      <c r="F1655" s="17"/>
      <c r="G1655" s="156" t="str">
        <f>HYPERLINK("https://ledvance.com/pt/product-datasheet/199431/183427","Ficha Técnica")</f>
        <v>Ficha Técnica</v>
      </c>
      <c r="H1655" s="15">
        <v>20</v>
      </c>
      <c r="I1655" s="163">
        <v>4730</v>
      </c>
      <c r="J1655" s="15">
        <v>43</v>
      </c>
      <c r="K1655" s="163" t="s">
        <v>288</v>
      </c>
      <c r="L1655" s="15">
        <v>5</v>
      </c>
      <c r="M1655" s="188">
        <v>101</v>
      </c>
      <c r="N1655" s="169" t="s">
        <v>11</v>
      </c>
    </row>
    <row r="1656" spans="1:14" x14ac:dyDescent="0.25">
      <c r="A1656" s="63" t="s">
        <v>322</v>
      </c>
      <c r="B1656" s="71" t="s">
        <v>352</v>
      </c>
      <c r="C1656" s="2">
        <v>4058075705975</v>
      </c>
      <c r="D1656" s="84"/>
      <c r="E1656" s="85"/>
      <c r="F1656" s="17"/>
      <c r="G1656" s="156" t="str">
        <f>HYPERLINK("https://ledvance.com/pt/product-datasheet/199431/183430","Ficha Técnica")</f>
        <v>Ficha Técnica</v>
      </c>
      <c r="H1656" s="15">
        <v>20</v>
      </c>
      <c r="I1656" s="163">
        <v>4730</v>
      </c>
      <c r="J1656" s="15">
        <v>43</v>
      </c>
      <c r="K1656" s="163" t="s">
        <v>288</v>
      </c>
      <c r="L1656" s="15">
        <v>5</v>
      </c>
      <c r="M1656" s="188">
        <v>101</v>
      </c>
      <c r="N1656" s="169" t="s">
        <v>11</v>
      </c>
    </row>
    <row r="1657" spans="1:14" x14ac:dyDescent="0.25">
      <c r="A1657" s="63" t="s">
        <v>322</v>
      </c>
      <c r="B1657" s="71" t="s">
        <v>1342</v>
      </c>
      <c r="C1657" s="2">
        <v>4058075705999</v>
      </c>
      <c r="D1657" s="84"/>
      <c r="E1657" s="85"/>
      <c r="F1657" s="17"/>
      <c r="G1657" s="156" t="str">
        <f>HYPERLINK("https://ledvance.com/pt/product-datasheet/199432/183433","Ficha Técnica")</f>
        <v>Ficha Técnica</v>
      </c>
      <c r="H1657" s="15">
        <v>20</v>
      </c>
      <c r="I1657" s="163">
        <v>6190</v>
      </c>
      <c r="J1657" s="15">
        <v>60</v>
      </c>
      <c r="K1657" s="163" t="s">
        <v>288</v>
      </c>
      <c r="L1657" s="15">
        <v>5</v>
      </c>
      <c r="M1657" s="188">
        <v>114</v>
      </c>
      <c r="N1657" s="169" t="s">
        <v>11</v>
      </c>
    </row>
    <row r="1658" spans="1:14" x14ac:dyDescent="0.25">
      <c r="A1658" s="63" t="s">
        <v>322</v>
      </c>
      <c r="B1658" s="71" t="s">
        <v>1343</v>
      </c>
      <c r="C1658" s="2">
        <v>4058075706019</v>
      </c>
      <c r="D1658" s="84"/>
      <c r="E1658" s="85"/>
      <c r="F1658" s="17"/>
      <c r="G1658" s="156" t="str">
        <f>HYPERLINK("https://ledvance.com/pt/product-datasheet/199432/183436","Ficha Técnica")</f>
        <v>Ficha Técnica</v>
      </c>
      <c r="H1658" s="15">
        <v>20</v>
      </c>
      <c r="I1658" s="163">
        <v>6290</v>
      </c>
      <c r="J1658" s="15">
        <v>60</v>
      </c>
      <c r="K1658" s="163" t="s">
        <v>288</v>
      </c>
      <c r="L1658" s="15">
        <v>5</v>
      </c>
      <c r="M1658" s="188">
        <v>114</v>
      </c>
      <c r="N1658" s="169" t="s">
        <v>11</v>
      </c>
    </row>
    <row r="1659" spans="1:14" x14ac:dyDescent="0.25">
      <c r="A1659" s="63" t="s">
        <v>322</v>
      </c>
      <c r="B1659" s="71" t="s">
        <v>1344</v>
      </c>
      <c r="C1659" s="2">
        <v>4058075706033</v>
      </c>
      <c r="D1659" s="84"/>
      <c r="E1659" s="85"/>
      <c r="F1659" s="17"/>
      <c r="G1659" s="156" t="str">
        <f>HYPERLINK("https://ledvance.com/pt/product-datasheet/199432/183439","Ficha Técnica")</f>
        <v>Ficha Técnica</v>
      </c>
      <c r="H1659" s="15">
        <v>20</v>
      </c>
      <c r="I1659" s="163">
        <v>6700</v>
      </c>
      <c r="J1659" s="15">
        <v>60</v>
      </c>
      <c r="K1659" s="163" t="s">
        <v>288</v>
      </c>
      <c r="L1659" s="15">
        <v>5</v>
      </c>
      <c r="M1659" s="188">
        <v>114</v>
      </c>
      <c r="N1659" s="169" t="s">
        <v>11</v>
      </c>
    </row>
    <row r="1660" spans="1:14" x14ac:dyDescent="0.25">
      <c r="A1660" s="63" t="s">
        <v>322</v>
      </c>
      <c r="B1660" s="71" t="s">
        <v>1345</v>
      </c>
      <c r="C1660" s="2">
        <v>4058075706057</v>
      </c>
      <c r="D1660" s="84"/>
      <c r="E1660" s="85"/>
      <c r="F1660" s="17"/>
      <c r="G1660" s="156" t="str">
        <f>HYPERLINK("https://ledvance.com/pt/product-datasheet/199432/183442","Ficha Técnica")</f>
        <v>Ficha Técnica</v>
      </c>
      <c r="H1660" s="15">
        <v>20</v>
      </c>
      <c r="I1660" s="163">
        <v>6700</v>
      </c>
      <c r="J1660" s="15">
        <v>60</v>
      </c>
      <c r="K1660" s="163" t="s">
        <v>288</v>
      </c>
      <c r="L1660" s="15">
        <v>5</v>
      </c>
      <c r="M1660" s="188">
        <v>114</v>
      </c>
      <c r="N1660" s="169" t="s">
        <v>11</v>
      </c>
    </row>
    <row r="1661" spans="1:14" x14ac:dyDescent="0.25">
      <c r="A1661" s="63" t="s">
        <v>322</v>
      </c>
      <c r="B1661" s="71" t="s">
        <v>353</v>
      </c>
      <c r="C1661" s="2">
        <v>4058075706071</v>
      </c>
      <c r="D1661" s="84"/>
      <c r="E1661" s="85"/>
      <c r="F1661" s="17"/>
      <c r="G1661" s="156" t="str">
        <f>HYPERLINK("https://ledvance.com/pt/product-datasheet/199433/183445","Ficha Técnica")</f>
        <v>Ficha Técnica</v>
      </c>
      <c r="H1661" s="15">
        <v>20</v>
      </c>
      <c r="I1661" s="163">
        <v>7920</v>
      </c>
      <c r="J1661" s="15">
        <v>78</v>
      </c>
      <c r="K1661" s="163" t="s">
        <v>288</v>
      </c>
      <c r="L1661" s="15">
        <v>5</v>
      </c>
      <c r="M1661" s="188">
        <v>120.5</v>
      </c>
      <c r="N1661" s="169" t="s">
        <v>11</v>
      </c>
    </row>
    <row r="1662" spans="1:14" x14ac:dyDescent="0.25">
      <c r="A1662" s="63" t="s">
        <v>322</v>
      </c>
      <c r="B1662" s="71" t="s">
        <v>354</v>
      </c>
      <c r="C1662" s="2">
        <v>4058075706095</v>
      </c>
      <c r="D1662" s="84"/>
      <c r="E1662" s="85"/>
      <c r="F1662" s="17"/>
      <c r="G1662" s="156" t="str">
        <f>HYPERLINK("https://ledvance.com/pt/product-datasheet/199433/183448","Ficha Técnica")</f>
        <v>Ficha Técnica</v>
      </c>
      <c r="H1662" s="15">
        <v>20</v>
      </c>
      <c r="I1662" s="163">
        <v>8050</v>
      </c>
      <c r="J1662" s="15">
        <v>78</v>
      </c>
      <c r="K1662" s="163" t="s">
        <v>288</v>
      </c>
      <c r="L1662" s="15">
        <v>5</v>
      </c>
      <c r="M1662" s="188">
        <v>120.5</v>
      </c>
      <c r="N1662" s="169" t="s">
        <v>11</v>
      </c>
    </row>
    <row r="1663" spans="1:14" x14ac:dyDescent="0.25">
      <c r="A1663" s="63" t="s">
        <v>322</v>
      </c>
      <c r="B1663" s="71" t="s">
        <v>355</v>
      </c>
      <c r="C1663" s="2">
        <v>4058075706118</v>
      </c>
      <c r="D1663" s="84"/>
      <c r="E1663" s="85"/>
      <c r="F1663" s="17"/>
      <c r="G1663" s="156" t="str">
        <f>HYPERLINK("https://ledvance.com/pt/product-datasheet/199433/183451","Ficha Técnica")</f>
        <v>Ficha Técnica</v>
      </c>
      <c r="H1663" s="15">
        <v>20</v>
      </c>
      <c r="I1663" s="163">
        <v>8575</v>
      </c>
      <c r="J1663" s="15">
        <v>78</v>
      </c>
      <c r="K1663" s="163" t="s">
        <v>288</v>
      </c>
      <c r="L1663" s="15">
        <v>5</v>
      </c>
      <c r="M1663" s="188">
        <v>120.5</v>
      </c>
      <c r="N1663" s="169" t="s">
        <v>11</v>
      </c>
    </row>
    <row r="1664" spans="1:14" x14ac:dyDescent="0.25">
      <c r="A1664" s="63" t="s">
        <v>322</v>
      </c>
      <c r="B1664" s="71" t="s">
        <v>356</v>
      </c>
      <c r="C1664" s="2">
        <v>4058075706132</v>
      </c>
      <c r="D1664" s="84"/>
      <c r="E1664" s="85"/>
      <c r="F1664" s="17"/>
      <c r="G1664" s="156" t="str">
        <f>HYPERLINK("https://ledvance.com/pt/product-datasheet/199433/183454","Ficha Técnica")</f>
        <v>Ficha Técnica</v>
      </c>
      <c r="H1664" s="15">
        <v>20</v>
      </c>
      <c r="I1664" s="163">
        <v>8575</v>
      </c>
      <c r="J1664" s="15">
        <v>78</v>
      </c>
      <c r="K1664" s="163" t="s">
        <v>288</v>
      </c>
      <c r="L1664" s="15">
        <v>5</v>
      </c>
      <c r="M1664" s="188">
        <v>120.5</v>
      </c>
      <c r="N1664" s="169" t="s">
        <v>11</v>
      </c>
    </row>
    <row r="1665" spans="1:14" x14ac:dyDescent="0.25">
      <c r="A1665" s="66" t="s">
        <v>322</v>
      </c>
      <c r="B1665" s="79" t="s">
        <v>2178</v>
      </c>
      <c r="C1665" s="52"/>
      <c r="D1665" s="122"/>
      <c r="E1665" s="123"/>
      <c r="F1665" s="12"/>
      <c r="G1665" s="157"/>
      <c r="H1665" s="49"/>
      <c r="I1665" s="165"/>
      <c r="J1665" s="49"/>
      <c r="K1665" s="165"/>
      <c r="L1665" s="49"/>
      <c r="M1665" s="191"/>
      <c r="N1665" s="65"/>
    </row>
    <row r="1666" spans="1:14" x14ac:dyDescent="0.25">
      <c r="A1666" s="63" t="s">
        <v>322</v>
      </c>
      <c r="B1666" s="71" t="s">
        <v>1557</v>
      </c>
      <c r="C1666" s="2">
        <v>4099854358258</v>
      </c>
      <c r="D1666" s="95">
        <v>4058075436145</v>
      </c>
      <c r="E1666" s="96" t="s">
        <v>1549</v>
      </c>
      <c r="F1666" s="17"/>
      <c r="G1666" s="156" t="str">
        <f>HYPERLINK("https://ledvance.com/pt/product-datasheet/332828/319448","Ficha Técnica")</f>
        <v>Ficha Técnica</v>
      </c>
      <c r="H1666" s="15">
        <v>30</v>
      </c>
      <c r="I1666" s="163">
        <v>8025</v>
      </c>
      <c r="J1666" s="15">
        <v>106</v>
      </c>
      <c r="K1666" s="163" t="s">
        <v>46</v>
      </c>
      <c r="L1666" s="15">
        <v>5</v>
      </c>
      <c r="M1666" s="188">
        <v>176.2</v>
      </c>
      <c r="N1666" s="169" t="s">
        <v>11</v>
      </c>
    </row>
    <row r="1667" spans="1:14" x14ac:dyDescent="0.25">
      <c r="A1667" s="63" t="s">
        <v>322</v>
      </c>
      <c r="B1667" s="71" t="s">
        <v>1558</v>
      </c>
      <c r="C1667" s="2">
        <v>4099854358272</v>
      </c>
      <c r="D1667" s="95">
        <v>4058075436206</v>
      </c>
      <c r="E1667" s="96" t="s">
        <v>1550</v>
      </c>
      <c r="F1667" s="17"/>
      <c r="G1667" s="156" t="str">
        <f>HYPERLINK("https://ledvance.com/pt/product-datasheet/332828/319451","Ficha Técnica")</f>
        <v>Ficha Técnica</v>
      </c>
      <c r="H1667" s="15">
        <v>30</v>
      </c>
      <c r="I1667" s="163">
        <v>8130</v>
      </c>
      <c r="J1667" s="15">
        <v>106</v>
      </c>
      <c r="K1667" s="163" t="s">
        <v>46</v>
      </c>
      <c r="L1667" s="15">
        <v>5</v>
      </c>
      <c r="M1667" s="188">
        <v>176.2</v>
      </c>
      <c r="N1667" s="169" t="s">
        <v>11</v>
      </c>
    </row>
    <row r="1668" spans="1:14" x14ac:dyDescent="0.25">
      <c r="A1668" s="63" t="s">
        <v>322</v>
      </c>
      <c r="B1668" s="71" t="s">
        <v>1559</v>
      </c>
      <c r="C1668" s="2">
        <v>4099854358296</v>
      </c>
      <c r="D1668" s="95">
        <v>4058075436282</v>
      </c>
      <c r="E1668" s="96" t="s">
        <v>1551</v>
      </c>
      <c r="F1668" s="17"/>
      <c r="G1668" s="156" t="str">
        <f>HYPERLINK("https://ledvance.com/pt/product-datasheet/332828/319454","Ficha Técnica")</f>
        <v>Ficha Técnica</v>
      </c>
      <c r="H1668" s="15">
        <v>30</v>
      </c>
      <c r="I1668" s="163">
        <v>8450</v>
      </c>
      <c r="J1668" s="15">
        <v>106</v>
      </c>
      <c r="K1668" s="163" t="s">
        <v>46</v>
      </c>
      <c r="L1668" s="15">
        <v>5</v>
      </c>
      <c r="M1668" s="188">
        <v>176.2</v>
      </c>
      <c r="N1668" s="169" t="s">
        <v>11</v>
      </c>
    </row>
    <row r="1669" spans="1:14" x14ac:dyDescent="0.25">
      <c r="A1669" s="63" t="s">
        <v>322</v>
      </c>
      <c r="B1669" s="71" t="s">
        <v>1560</v>
      </c>
      <c r="C1669" s="2">
        <v>4099854358753</v>
      </c>
      <c r="D1669" s="95">
        <v>4058075436312</v>
      </c>
      <c r="E1669" s="96" t="s">
        <v>1552</v>
      </c>
      <c r="F1669" s="17"/>
      <c r="G1669" s="156" t="str">
        <f>HYPERLINK("https://ledvance.com/pt/product-datasheet/332828/319457","Ficha Técnica")</f>
        <v>Ficha Técnica</v>
      </c>
      <c r="H1669" s="15">
        <v>30</v>
      </c>
      <c r="I1669" s="163">
        <v>8450</v>
      </c>
      <c r="J1669" s="15">
        <v>106</v>
      </c>
      <c r="K1669" s="163" t="s">
        <v>46</v>
      </c>
      <c r="L1669" s="15">
        <v>5</v>
      </c>
      <c r="M1669" s="188">
        <v>176.2</v>
      </c>
      <c r="N1669" s="169" t="s">
        <v>11</v>
      </c>
    </row>
    <row r="1670" spans="1:14" x14ac:dyDescent="0.25">
      <c r="A1670" s="63" t="s">
        <v>322</v>
      </c>
      <c r="B1670" s="71" t="s">
        <v>1561</v>
      </c>
      <c r="C1670" s="2">
        <v>4099854358807</v>
      </c>
      <c r="D1670" s="95">
        <v>4058075436053</v>
      </c>
      <c r="E1670" s="96" t="s">
        <v>1553</v>
      </c>
      <c r="F1670" s="17"/>
      <c r="G1670" s="156" t="str">
        <f>HYPERLINK("https://ledvance.com/pt/product-datasheet/332829/319460","Ficha Técnica")</f>
        <v>Ficha Técnica</v>
      </c>
      <c r="H1670" s="15">
        <v>20</v>
      </c>
      <c r="I1670" s="163">
        <v>7630</v>
      </c>
      <c r="J1670" s="15">
        <v>106</v>
      </c>
      <c r="K1670" s="163" t="s">
        <v>288</v>
      </c>
      <c r="L1670" s="15">
        <v>5</v>
      </c>
      <c r="M1670" s="188">
        <v>237.6</v>
      </c>
      <c r="N1670" s="169" t="s">
        <v>11</v>
      </c>
    </row>
    <row r="1671" spans="1:14" x14ac:dyDescent="0.25">
      <c r="A1671" s="63" t="s">
        <v>322</v>
      </c>
      <c r="B1671" s="71" t="s">
        <v>1562</v>
      </c>
      <c r="C1671" s="2">
        <v>4099854358876</v>
      </c>
      <c r="D1671" s="95">
        <v>4058075436114</v>
      </c>
      <c r="E1671" s="96" t="s">
        <v>1554</v>
      </c>
      <c r="F1671" s="17"/>
      <c r="G1671" s="156" t="str">
        <f>HYPERLINK("https://ledvance.com/pt/product-datasheet/332829/319463","Ficha Técnica")</f>
        <v>Ficha Técnica</v>
      </c>
      <c r="H1671" s="15">
        <v>20</v>
      </c>
      <c r="I1671" s="163">
        <v>7735</v>
      </c>
      <c r="J1671" s="15">
        <v>106</v>
      </c>
      <c r="K1671" s="163" t="s">
        <v>288</v>
      </c>
      <c r="L1671" s="15">
        <v>5</v>
      </c>
      <c r="M1671" s="188">
        <v>237.6</v>
      </c>
      <c r="N1671" s="169" t="s">
        <v>11</v>
      </c>
    </row>
    <row r="1672" spans="1:14" x14ac:dyDescent="0.25">
      <c r="A1672" s="63" t="s">
        <v>322</v>
      </c>
      <c r="B1672" s="71" t="s">
        <v>1563</v>
      </c>
      <c r="C1672" s="2">
        <v>4099854358890</v>
      </c>
      <c r="D1672" s="95">
        <v>4058075436176</v>
      </c>
      <c r="E1672" s="96" t="s">
        <v>1555</v>
      </c>
      <c r="F1672" s="17"/>
      <c r="G1672" s="156" t="str">
        <f>HYPERLINK("https://ledvance.com/pt/product-datasheet/332829/319466","Ficha Técnica")</f>
        <v>Ficha Técnica</v>
      </c>
      <c r="H1672" s="15">
        <v>20</v>
      </c>
      <c r="I1672" s="163">
        <v>7950</v>
      </c>
      <c r="J1672" s="15">
        <v>106</v>
      </c>
      <c r="K1672" s="163" t="s">
        <v>288</v>
      </c>
      <c r="L1672" s="15">
        <v>5</v>
      </c>
      <c r="M1672" s="188">
        <v>237.6</v>
      </c>
      <c r="N1672" s="169" t="s">
        <v>11</v>
      </c>
    </row>
    <row r="1673" spans="1:14" x14ac:dyDescent="0.25">
      <c r="A1673" s="63" t="s">
        <v>322</v>
      </c>
      <c r="B1673" s="71" t="s">
        <v>1564</v>
      </c>
      <c r="C1673" s="2">
        <v>4099854358913</v>
      </c>
      <c r="D1673" s="95">
        <v>4058075436237</v>
      </c>
      <c r="E1673" s="96" t="s">
        <v>1556</v>
      </c>
      <c r="F1673" s="17"/>
      <c r="G1673" s="156" t="str">
        <f>HYPERLINK("https://ledvance.com/pt/product-datasheet/332829/319469","Ficha Técnica")</f>
        <v>Ficha Técnica</v>
      </c>
      <c r="H1673" s="15">
        <v>20</v>
      </c>
      <c r="I1673" s="163">
        <v>7950</v>
      </c>
      <c r="J1673" s="15">
        <v>106</v>
      </c>
      <c r="K1673" s="163" t="s">
        <v>288</v>
      </c>
      <c r="L1673" s="15">
        <v>5</v>
      </c>
      <c r="M1673" s="188">
        <v>237.6</v>
      </c>
      <c r="N1673" s="169" t="s">
        <v>11</v>
      </c>
    </row>
    <row r="1674" spans="1:14" x14ac:dyDescent="0.25">
      <c r="A1674" s="66" t="s">
        <v>322</v>
      </c>
      <c r="B1674" s="79" t="s">
        <v>2182</v>
      </c>
      <c r="C1674" s="52"/>
      <c r="D1674" s="122"/>
      <c r="E1674" s="123"/>
      <c r="F1674" s="12"/>
      <c r="G1674" s="157"/>
      <c r="H1674" s="49"/>
      <c r="I1674" s="165"/>
      <c r="J1674" s="49"/>
      <c r="K1674" s="165"/>
      <c r="L1674" s="49"/>
      <c r="M1674" s="191"/>
      <c r="N1674" s="65"/>
    </row>
    <row r="1675" spans="1:14" x14ac:dyDescent="0.25">
      <c r="A1675" s="63" t="s">
        <v>322</v>
      </c>
      <c r="B1675" s="71" t="s">
        <v>357</v>
      </c>
      <c r="C1675" s="2">
        <v>4058075707795</v>
      </c>
      <c r="D1675" s="84"/>
      <c r="E1675" s="85"/>
      <c r="F1675" s="17"/>
      <c r="G1675" s="156" t="str">
        <f>HYPERLINK("https://ledvance.com/pt/product-datasheet/199234/184156","Ficha Técnica")</f>
        <v>Ficha Técnica</v>
      </c>
      <c r="H1675" s="15">
        <v>30</v>
      </c>
      <c r="I1675" s="163">
        <v>2330</v>
      </c>
      <c r="J1675" s="15">
        <v>24</v>
      </c>
      <c r="K1675" s="163" t="s">
        <v>320</v>
      </c>
      <c r="L1675" s="15">
        <v>3</v>
      </c>
      <c r="M1675" s="188">
        <v>26.2</v>
      </c>
      <c r="N1675" s="169" t="s">
        <v>11</v>
      </c>
    </row>
    <row r="1676" spans="1:14" x14ac:dyDescent="0.25">
      <c r="A1676" s="63" t="s">
        <v>322</v>
      </c>
      <c r="B1676" s="71" t="s">
        <v>358</v>
      </c>
      <c r="C1676" s="2">
        <v>4058075707818</v>
      </c>
      <c r="D1676" s="84"/>
      <c r="E1676" s="85"/>
      <c r="F1676" s="17"/>
      <c r="G1676" s="156" t="str">
        <f>HYPERLINK("https://ledvance.com/pt/product-datasheet/199234/184159","Ficha Técnica")</f>
        <v>Ficha Técnica</v>
      </c>
      <c r="H1676" s="15">
        <v>30</v>
      </c>
      <c r="I1676" s="163">
        <v>2375</v>
      </c>
      <c r="J1676" s="15">
        <v>24</v>
      </c>
      <c r="K1676" s="163" t="s">
        <v>320</v>
      </c>
      <c r="L1676" s="15">
        <v>3</v>
      </c>
      <c r="M1676" s="188">
        <v>26.2</v>
      </c>
      <c r="N1676" s="169" t="s">
        <v>11</v>
      </c>
    </row>
    <row r="1677" spans="1:14" x14ac:dyDescent="0.25">
      <c r="A1677" s="63" t="s">
        <v>322</v>
      </c>
      <c r="B1677" s="71" t="s">
        <v>359</v>
      </c>
      <c r="C1677" s="2">
        <v>4058075707832</v>
      </c>
      <c r="D1677" s="84"/>
      <c r="E1677" s="85"/>
      <c r="F1677" s="17"/>
      <c r="G1677" s="156" t="str">
        <f>HYPERLINK("https://ledvance.com/pt/product-datasheet/199234/184162","Ficha Técnica")</f>
        <v>Ficha Técnica</v>
      </c>
      <c r="H1677" s="15">
        <v>30</v>
      </c>
      <c r="I1677" s="163">
        <v>2450</v>
      </c>
      <c r="J1677" s="15">
        <v>24</v>
      </c>
      <c r="K1677" s="163" t="s">
        <v>320</v>
      </c>
      <c r="L1677" s="15">
        <v>3</v>
      </c>
      <c r="M1677" s="188">
        <v>26.2</v>
      </c>
      <c r="N1677" s="169" t="s">
        <v>11</v>
      </c>
    </row>
    <row r="1678" spans="1:14" x14ac:dyDescent="0.25">
      <c r="A1678" s="63" t="s">
        <v>322</v>
      </c>
      <c r="B1678" s="71" t="s">
        <v>360</v>
      </c>
      <c r="C1678" s="2">
        <v>4058075707856</v>
      </c>
      <c r="D1678" s="84"/>
      <c r="E1678" s="85"/>
      <c r="F1678" s="17"/>
      <c r="G1678" s="156" t="str">
        <f>HYPERLINK("https://ledvance.com/pt/product-datasheet/199234/184165","Ficha Técnica")</f>
        <v>Ficha Técnica</v>
      </c>
      <c r="H1678" s="15">
        <v>30</v>
      </c>
      <c r="I1678" s="163">
        <v>2450</v>
      </c>
      <c r="J1678" s="15">
        <v>24</v>
      </c>
      <c r="K1678" s="163" t="s">
        <v>320</v>
      </c>
      <c r="L1678" s="15">
        <v>3</v>
      </c>
      <c r="M1678" s="188">
        <v>26.2</v>
      </c>
      <c r="N1678" s="169" t="s">
        <v>11</v>
      </c>
    </row>
    <row r="1679" spans="1:14" x14ac:dyDescent="0.25">
      <c r="A1679" s="63" t="s">
        <v>322</v>
      </c>
      <c r="B1679" s="71" t="s">
        <v>361</v>
      </c>
      <c r="C1679" s="2">
        <v>4058075707870</v>
      </c>
      <c r="D1679" s="84"/>
      <c r="E1679" s="85"/>
      <c r="F1679" s="17"/>
      <c r="G1679" s="156" t="str">
        <f>HYPERLINK("https://ledvance.com/pt/product-datasheet/199237/184168","Ficha Técnica")</f>
        <v>Ficha Técnica</v>
      </c>
      <c r="H1679" s="15">
        <v>30</v>
      </c>
      <c r="I1679" s="163">
        <v>3960</v>
      </c>
      <c r="J1679" s="15">
        <v>40</v>
      </c>
      <c r="K1679" s="163" t="s">
        <v>320</v>
      </c>
      <c r="L1679" s="15">
        <v>3</v>
      </c>
      <c r="M1679" s="188">
        <v>29.4</v>
      </c>
      <c r="N1679" s="169" t="s">
        <v>11</v>
      </c>
    </row>
    <row r="1680" spans="1:14" x14ac:dyDescent="0.25">
      <c r="A1680" s="63" t="s">
        <v>322</v>
      </c>
      <c r="B1680" s="71" t="s">
        <v>362</v>
      </c>
      <c r="C1680" s="2">
        <v>4058075707894</v>
      </c>
      <c r="D1680" s="84"/>
      <c r="E1680" s="85"/>
      <c r="F1680" s="17"/>
      <c r="G1680" s="156" t="str">
        <f>HYPERLINK("https://ledvance.com/pt/product-datasheet/199237/184171","Ficha Técnica")</f>
        <v>Ficha Técnica</v>
      </c>
      <c r="H1680" s="15">
        <v>30</v>
      </c>
      <c r="I1680" s="163">
        <v>4040</v>
      </c>
      <c r="J1680" s="15">
        <v>40</v>
      </c>
      <c r="K1680" s="163" t="s">
        <v>320</v>
      </c>
      <c r="L1680" s="15">
        <v>3</v>
      </c>
      <c r="M1680" s="188">
        <v>29.4</v>
      </c>
      <c r="N1680" s="169" t="s">
        <v>11</v>
      </c>
    </row>
    <row r="1681" spans="1:14" x14ac:dyDescent="0.25">
      <c r="A1681" s="63" t="s">
        <v>322</v>
      </c>
      <c r="B1681" s="71" t="s">
        <v>363</v>
      </c>
      <c r="C1681" s="2">
        <v>4058075707917</v>
      </c>
      <c r="D1681" s="84"/>
      <c r="E1681" s="85"/>
      <c r="F1681" s="17"/>
      <c r="G1681" s="156" t="str">
        <f>HYPERLINK("https://ledvance.com/pt/product-datasheet/199237/184174","Ficha Técnica")</f>
        <v>Ficha Técnica</v>
      </c>
      <c r="H1681" s="15">
        <v>30</v>
      </c>
      <c r="I1681" s="163">
        <v>4240</v>
      </c>
      <c r="J1681" s="15">
        <v>40</v>
      </c>
      <c r="K1681" s="163" t="s">
        <v>320</v>
      </c>
      <c r="L1681" s="15">
        <v>3</v>
      </c>
      <c r="M1681" s="188">
        <v>29.4</v>
      </c>
      <c r="N1681" s="169" t="s">
        <v>11</v>
      </c>
    </row>
    <row r="1682" spans="1:14" x14ac:dyDescent="0.25">
      <c r="A1682" s="63" t="s">
        <v>322</v>
      </c>
      <c r="B1682" s="71" t="s">
        <v>364</v>
      </c>
      <c r="C1682" s="2">
        <v>4058075707931</v>
      </c>
      <c r="D1682" s="84"/>
      <c r="E1682" s="85"/>
      <c r="F1682" s="17"/>
      <c r="G1682" s="156" t="str">
        <f>HYPERLINK("https://ledvance.com/pt/product-datasheet/199237/184177","Ficha Técnica")</f>
        <v>Ficha Técnica</v>
      </c>
      <c r="H1682" s="15">
        <v>30</v>
      </c>
      <c r="I1682" s="163">
        <v>4240</v>
      </c>
      <c r="J1682" s="15">
        <v>40</v>
      </c>
      <c r="K1682" s="163" t="s">
        <v>320</v>
      </c>
      <c r="L1682" s="15">
        <v>3</v>
      </c>
      <c r="M1682" s="188">
        <v>29.4</v>
      </c>
      <c r="N1682" s="169" t="s">
        <v>11</v>
      </c>
    </row>
    <row r="1683" spans="1:14" x14ac:dyDescent="0.25">
      <c r="A1683" s="63" t="s">
        <v>322</v>
      </c>
      <c r="B1683" s="71" t="s">
        <v>365</v>
      </c>
      <c r="C1683" s="2">
        <v>4058075707955</v>
      </c>
      <c r="D1683" s="84"/>
      <c r="E1683" s="85"/>
      <c r="F1683" s="17"/>
      <c r="G1683" s="156" t="str">
        <f>HYPERLINK("https://ledvance.com/pt/product-datasheet/199238/184180","Ficha Técnica")</f>
        <v>Ficha Técnica</v>
      </c>
      <c r="H1683" s="15">
        <v>30</v>
      </c>
      <c r="I1683" s="163">
        <v>5640</v>
      </c>
      <c r="J1683" s="15">
        <v>60</v>
      </c>
      <c r="K1683" s="163" t="s">
        <v>320</v>
      </c>
      <c r="L1683" s="15">
        <v>3</v>
      </c>
      <c r="M1683" s="188">
        <v>39.200000000000003</v>
      </c>
      <c r="N1683" s="169" t="s">
        <v>11</v>
      </c>
    </row>
    <row r="1684" spans="1:14" x14ac:dyDescent="0.25">
      <c r="A1684" s="63" t="s">
        <v>322</v>
      </c>
      <c r="B1684" s="71" t="s">
        <v>366</v>
      </c>
      <c r="C1684" s="2">
        <v>4058075707979</v>
      </c>
      <c r="D1684" s="84"/>
      <c r="E1684" s="85"/>
      <c r="F1684" s="17"/>
      <c r="G1684" s="156" t="str">
        <f>HYPERLINK("https://ledvance.com/pt/product-datasheet/199238/184183","Ficha Técnica")</f>
        <v>Ficha Técnica</v>
      </c>
      <c r="H1684" s="15">
        <v>30</v>
      </c>
      <c r="I1684" s="163">
        <v>5880</v>
      </c>
      <c r="J1684" s="15">
        <v>60</v>
      </c>
      <c r="K1684" s="163" t="s">
        <v>320</v>
      </c>
      <c r="L1684" s="15">
        <v>3</v>
      </c>
      <c r="M1684" s="188">
        <v>39.200000000000003</v>
      </c>
      <c r="N1684" s="169" t="s">
        <v>11</v>
      </c>
    </row>
    <row r="1685" spans="1:14" x14ac:dyDescent="0.25">
      <c r="A1685" s="63" t="s">
        <v>322</v>
      </c>
      <c r="B1685" s="71" t="s">
        <v>367</v>
      </c>
      <c r="C1685" s="2">
        <v>4058075707993</v>
      </c>
      <c r="D1685" s="84"/>
      <c r="E1685" s="85"/>
      <c r="F1685" s="17"/>
      <c r="G1685" s="156" t="str">
        <f>HYPERLINK("https://ledvance.com/pt/product-datasheet/199238/184186","Ficha Técnica")</f>
        <v>Ficha Técnica</v>
      </c>
      <c r="H1685" s="15">
        <v>30</v>
      </c>
      <c r="I1685" s="163">
        <v>6180</v>
      </c>
      <c r="J1685" s="15">
        <v>60</v>
      </c>
      <c r="K1685" s="163" t="s">
        <v>320</v>
      </c>
      <c r="L1685" s="15">
        <v>3</v>
      </c>
      <c r="M1685" s="188">
        <v>39.200000000000003</v>
      </c>
      <c r="N1685" s="169" t="s">
        <v>11</v>
      </c>
    </row>
    <row r="1686" spans="1:14" x14ac:dyDescent="0.25">
      <c r="A1686" s="63" t="s">
        <v>322</v>
      </c>
      <c r="B1686" s="71" t="s">
        <v>368</v>
      </c>
      <c r="C1686" s="2">
        <v>4058075708013</v>
      </c>
      <c r="D1686" s="84"/>
      <c r="E1686" s="85"/>
      <c r="F1686" s="17"/>
      <c r="G1686" s="156" t="str">
        <f>HYPERLINK("https://ledvance.com/pt/product-datasheet/199238/184189","Ficha Técnica")</f>
        <v>Ficha Técnica</v>
      </c>
      <c r="H1686" s="15">
        <v>30</v>
      </c>
      <c r="I1686" s="163">
        <v>6180</v>
      </c>
      <c r="J1686" s="15">
        <v>60</v>
      </c>
      <c r="K1686" s="163" t="s">
        <v>320</v>
      </c>
      <c r="L1686" s="15">
        <v>3</v>
      </c>
      <c r="M1686" s="188">
        <v>39.200000000000003</v>
      </c>
      <c r="N1686" s="169" t="s">
        <v>11</v>
      </c>
    </row>
    <row r="1687" spans="1:14" x14ac:dyDescent="0.25">
      <c r="A1687" s="63" t="s">
        <v>322</v>
      </c>
      <c r="B1687" s="71" t="s">
        <v>369</v>
      </c>
      <c r="C1687" s="2">
        <v>4058075708037</v>
      </c>
      <c r="D1687" s="84"/>
      <c r="E1687" s="85"/>
      <c r="F1687" s="17"/>
      <c r="G1687" s="156" t="str">
        <f>HYPERLINK("https://ledvance.com/pt/product-datasheet/199239/184192","Ficha Técnica")</f>
        <v>Ficha Técnica</v>
      </c>
      <c r="H1687" s="15">
        <v>30</v>
      </c>
      <c r="I1687" s="163">
        <v>6790</v>
      </c>
      <c r="J1687" s="15">
        <v>70</v>
      </c>
      <c r="K1687" s="163" t="s">
        <v>320</v>
      </c>
      <c r="L1687" s="15">
        <v>3</v>
      </c>
      <c r="M1687" s="188">
        <v>45.7</v>
      </c>
      <c r="N1687" s="169" t="s">
        <v>11</v>
      </c>
    </row>
    <row r="1688" spans="1:14" x14ac:dyDescent="0.25">
      <c r="A1688" s="63" t="s">
        <v>322</v>
      </c>
      <c r="B1688" s="71" t="s">
        <v>370</v>
      </c>
      <c r="C1688" s="2">
        <v>4058075708051</v>
      </c>
      <c r="D1688" s="84"/>
      <c r="E1688" s="85"/>
      <c r="F1688" s="17"/>
      <c r="G1688" s="156" t="str">
        <f>HYPERLINK("https://ledvance.com/pt/product-datasheet/199239/184195","Ficha Técnica")</f>
        <v>Ficha Técnica</v>
      </c>
      <c r="H1688" s="15">
        <v>30</v>
      </c>
      <c r="I1688" s="163">
        <v>6850</v>
      </c>
      <c r="J1688" s="15">
        <v>70</v>
      </c>
      <c r="K1688" s="163" t="s">
        <v>320</v>
      </c>
      <c r="L1688" s="15">
        <v>3</v>
      </c>
      <c r="M1688" s="188">
        <v>45.7</v>
      </c>
      <c r="N1688" s="169" t="s">
        <v>11</v>
      </c>
    </row>
    <row r="1689" spans="1:14" x14ac:dyDescent="0.25">
      <c r="A1689" s="63" t="s">
        <v>322</v>
      </c>
      <c r="B1689" s="71" t="s">
        <v>371</v>
      </c>
      <c r="C1689" s="2">
        <v>4058075708075</v>
      </c>
      <c r="D1689" s="84"/>
      <c r="E1689" s="85"/>
      <c r="F1689" s="17"/>
      <c r="G1689" s="156" t="str">
        <f>HYPERLINK("https://ledvance.com/pt/product-datasheet/199239/184198","Ficha Técnica")</f>
        <v>Ficha Técnica</v>
      </c>
      <c r="H1689" s="15">
        <v>30</v>
      </c>
      <c r="I1689" s="163">
        <v>7280</v>
      </c>
      <c r="J1689" s="15">
        <v>70</v>
      </c>
      <c r="K1689" s="163" t="s">
        <v>320</v>
      </c>
      <c r="L1689" s="15">
        <v>3</v>
      </c>
      <c r="M1689" s="188">
        <v>45.7</v>
      </c>
      <c r="N1689" s="169" t="s">
        <v>11</v>
      </c>
    </row>
    <row r="1690" spans="1:14" x14ac:dyDescent="0.25">
      <c r="A1690" s="63" t="s">
        <v>322</v>
      </c>
      <c r="B1690" s="71" t="s">
        <v>372</v>
      </c>
      <c r="C1690" s="2">
        <v>4058075708099</v>
      </c>
      <c r="D1690" s="84"/>
      <c r="E1690" s="85"/>
      <c r="F1690" s="17"/>
      <c r="G1690" s="156" t="str">
        <f>HYPERLINK("https://ledvance.com/pt/product-datasheet/199239/184201","Ficha Técnica")</f>
        <v>Ficha Técnica</v>
      </c>
      <c r="H1690" s="15">
        <v>30</v>
      </c>
      <c r="I1690" s="163">
        <v>7280</v>
      </c>
      <c r="J1690" s="15">
        <v>70</v>
      </c>
      <c r="K1690" s="163" t="s">
        <v>320</v>
      </c>
      <c r="L1690" s="15">
        <v>3</v>
      </c>
      <c r="M1690" s="188">
        <v>50.7</v>
      </c>
      <c r="N1690" s="169" t="s">
        <v>11</v>
      </c>
    </row>
    <row r="1691" spans="1:14" x14ac:dyDescent="0.25">
      <c r="A1691" s="66" t="s">
        <v>322</v>
      </c>
      <c r="B1691" s="79" t="s">
        <v>2183</v>
      </c>
      <c r="C1691" s="52"/>
      <c r="D1691" s="122"/>
      <c r="E1691" s="123"/>
      <c r="F1691" s="12"/>
      <c r="G1691" s="157"/>
      <c r="H1691" s="49"/>
      <c r="I1691" s="165"/>
      <c r="J1691" s="49"/>
      <c r="K1691" s="165"/>
      <c r="L1691" s="49"/>
      <c r="M1691" s="191"/>
      <c r="N1691" s="65"/>
    </row>
    <row r="1692" spans="1:14" x14ac:dyDescent="0.25">
      <c r="A1692" s="63" t="s">
        <v>322</v>
      </c>
      <c r="B1692" s="71" t="s">
        <v>373</v>
      </c>
      <c r="C1692" s="2">
        <v>4058075705425</v>
      </c>
      <c r="D1692" s="84"/>
      <c r="E1692" s="85"/>
      <c r="F1692" s="17"/>
      <c r="G1692" s="156" t="str">
        <f>HYPERLINK("https://ledvance.com/pt/product-datasheet/199242/183457","Ficha Técnica")</f>
        <v>Ficha Técnica</v>
      </c>
      <c r="H1692" s="15">
        <v>20</v>
      </c>
      <c r="I1692" s="163">
        <v>2185</v>
      </c>
      <c r="J1692" s="15">
        <v>24</v>
      </c>
      <c r="K1692" s="163" t="s">
        <v>249</v>
      </c>
      <c r="L1692" s="15">
        <v>3</v>
      </c>
      <c r="M1692" s="188">
        <v>42.4</v>
      </c>
      <c r="N1692" s="169" t="s">
        <v>11</v>
      </c>
    </row>
    <row r="1693" spans="1:14" x14ac:dyDescent="0.25">
      <c r="A1693" s="63" t="s">
        <v>322</v>
      </c>
      <c r="B1693" s="71" t="s">
        <v>374</v>
      </c>
      <c r="C1693" s="2">
        <v>4058075705463</v>
      </c>
      <c r="D1693" s="84"/>
      <c r="E1693" s="85"/>
      <c r="F1693" s="17"/>
      <c r="G1693" s="156" t="str">
        <f>HYPERLINK("https://ledvance.com/pt/product-datasheet/199242/183460","Ficha Técnica")</f>
        <v>Ficha Técnica</v>
      </c>
      <c r="H1693" s="15">
        <v>20</v>
      </c>
      <c r="I1693" s="163">
        <v>2230</v>
      </c>
      <c r="J1693" s="15">
        <v>24</v>
      </c>
      <c r="K1693" s="163" t="s">
        <v>249</v>
      </c>
      <c r="L1693" s="15">
        <v>3</v>
      </c>
      <c r="M1693" s="188">
        <v>42.4</v>
      </c>
      <c r="N1693" s="169" t="s">
        <v>11</v>
      </c>
    </row>
    <row r="1694" spans="1:14" x14ac:dyDescent="0.25">
      <c r="A1694" s="63" t="s">
        <v>322</v>
      </c>
      <c r="B1694" s="71" t="s">
        <v>375</v>
      </c>
      <c r="C1694" s="2">
        <v>4058075705487</v>
      </c>
      <c r="D1694" s="84"/>
      <c r="E1694" s="85"/>
      <c r="F1694" s="17"/>
      <c r="G1694" s="156" t="str">
        <f>HYPERLINK("https://ledvance.com/pt/product-datasheet/199242/183463","Ficha Técnica")</f>
        <v>Ficha Técnica</v>
      </c>
      <c r="H1694" s="15">
        <v>20</v>
      </c>
      <c r="I1694" s="163">
        <v>2300</v>
      </c>
      <c r="J1694" s="15">
        <v>24</v>
      </c>
      <c r="K1694" s="163" t="s">
        <v>249</v>
      </c>
      <c r="L1694" s="15">
        <v>3</v>
      </c>
      <c r="M1694" s="188">
        <v>42.4</v>
      </c>
      <c r="N1694" s="169" t="s">
        <v>11</v>
      </c>
    </row>
    <row r="1695" spans="1:14" x14ac:dyDescent="0.25">
      <c r="A1695" s="63" t="s">
        <v>322</v>
      </c>
      <c r="B1695" s="71" t="s">
        <v>376</v>
      </c>
      <c r="C1695" s="2">
        <v>4058075705500</v>
      </c>
      <c r="D1695" s="84"/>
      <c r="E1695" s="85"/>
      <c r="F1695" s="17"/>
      <c r="G1695" s="156" t="str">
        <f>HYPERLINK("https://ledvance.com/pt/product-datasheet/199242/183466","Ficha Técnica")</f>
        <v>Ficha Técnica</v>
      </c>
      <c r="H1695" s="15">
        <v>20</v>
      </c>
      <c r="I1695" s="163">
        <v>2300</v>
      </c>
      <c r="J1695" s="15">
        <v>24</v>
      </c>
      <c r="K1695" s="163" t="s">
        <v>249</v>
      </c>
      <c r="L1695" s="15">
        <v>3</v>
      </c>
      <c r="M1695" s="188">
        <v>42.4</v>
      </c>
      <c r="N1695" s="169" t="s">
        <v>11</v>
      </c>
    </row>
    <row r="1696" spans="1:14" x14ac:dyDescent="0.25">
      <c r="A1696" s="63" t="s">
        <v>322</v>
      </c>
      <c r="B1696" s="71" t="s">
        <v>377</v>
      </c>
      <c r="C1696" s="2">
        <v>4058075705524</v>
      </c>
      <c r="D1696" s="84"/>
      <c r="E1696" s="85"/>
      <c r="F1696" s="17"/>
      <c r="G1696" s="156" t="str">
        <f>HYPERLINK("https://ledvance.com/pt/product-datasheet/199240/183469","Ficha Técnica")</f>
        <v>Ficha Técnica</v>
      </c>
      <c r="H1696" s="15">
        <v>20</v>
      </c>
      <c r="I1696" s="163">
        <v>3720</v>
      </c>
      <c r="J1696" s="15">
        <v>40</v>
      </c>
      <c r="K1696" s="163" t="s">
        <v>249</v>
      </c>
      <c r="L1696" s="15">
        <v>3</v>
      </c>
      <c r="M1696" s="188">
        <v>42.4</v>
      </c>
      <c r="N1696" s="169" t="s">
        <v>11</v>
      </c>
    </row>
    <row r="1697" spans="1:14" x14ac:dyDescent="0.25">
      <c r="A1697" s="63" t="s">
        <v>322</v>
      </c>
      <c r="B1697" s="71" t="s">
        <v>378</v>
      </c>
      <c r="C1697" s="2">
        <v>4058075705548</v>
      </c>
      <c r="D1697" s="84"/>
      <c r="E1697" s="85"/>
      <c r="F1697" s="17"/>
      <c r="G1697" s="156" t="str">
        <f>HYPERLINK("https://ledvance.com/pt/product-datasheet/199240/183472","Ficha Técnica")</f>
        <v>Ficha Técnica</v>
      </c>
      <c r="H1697" s="15">
        <v>20</v>
      </c>
      <c r="I1697" s="163">
        <v>3800</v>
      </c>
      <c r="J1697" s="15">
        <v>40</v>
      </c>
      <c r="K1697" s="163" t="s">
        <v>249</v>
      </c>
      <c r="L1697" s="15">
        <v>3</v>
      </c>
      <c r="M1697" s="188">
        <v>42.4</v>
      </c>
      <c r="N1697" s="169" t="s">
        <v>11</v>
      </c>
    </row>
    <row r="1698" spans="1:14" x14ac:dyDescent="0.25">
      <c r="A1698" s="63" t="s">
        <v>322</v>
      </c>
      <c r="B1698" s="71" t="s">
        <v>379</v>
      </c>
      <c r="C1698" s="2">
        <v>4058075705562</v>
      </c>
      <c r="D1698" s="84"/>
      <c r="E1698" s="85"/>
      <c r="F1698" s="17"/>
      <c r="G1698" s="156" t="str">
        <f>HYPERLINK("https://ledvance.com/pt/product-datasheet/199240/183475","Ficha Técnica")</f>
        <v>Ficha Técnica</v>
      </c>
      <c r="H1698" s="15">
        <v>20</v>
      </c>
      <c r="I1698" s="163">
        <v>3960</v>
      </c>
      <c r="J1698" s="15">
        <v>40</v>
      </c>
      <c r="K1698" s="163" t="s">
        <v>249</v>
      </c>
      <c r="L1698" s="15">
        <v>3</v>
      </c>
      <c r="M1698" s="188">
        <v>42.4</v>
      </c>
      <c r="N1698" s="169" t="s">
        <v>11</v>
      </c>
    </row>
    <row r="1699" spans="1:14" x14ac:dyDescent="0.25">
      <c r="A1699" s="63" t="s">
        <v>322</v>
      </c>
      <c r="B1699" s="71" t="s">
        <v>380</v>
      </c>
      <c r="C1699" s="2">
        <v>4058075705586</v>
      </c>
      <c r="D1699" s="84"/>
      <c r="E1699" s="85"/>
      <c r="F1699" s="17"/>
      <c r="G1699" s="156" t="str">
        <f>HYPERLINK("https://ledvance.com/pt/product-datasheet/199240/183478","Ficha Técnica")</f>
        <v>Ficha Técnica</v>
      </c>
      <c r="H1699" s="15">
        <v>20</v>
      </c>
      <c r="I1699" s="163">
        <v>3960</v>
      </c>
      <c r="J1699" s="15">
        <v>40</v>
      </c>
      <c r="K1699" s="163" t="s">
        <v>249</v>
      </c>
      <c r="L1699" s="15">
        <v>3</v>
      </c>
      <c r="M1699" s="188">
        <v>42.4</v>
      </c>
      <c r="N1699" s="169" t="s">
        <v>11</v>
      </c>
    </row>
    <row r="1700" spans="1:14" x14ac:dyDescent="0.25">
      <c r="A1700" s="63" t="s">
        <v>322</v>
      </c>
      <c r="B1700" s="71" t="s">
        <v>381</v>
      </c>
      <c r="C1700" s="2">
        <v>4058075705609</v>
      </c>
      <c r="D1700" s="84"/>
      <c r="E1700" s="85"/>
      <c r="F1700" s="17"/>
      <c r="G1700" s="156" t="str">
        <f>HYPERLINK("https://ledvance.com/pt/product-datasheet/199241/183481","Ficha Técnica")</f>
        <v>Ficha Técnica</v>
      </c>
      <c r="H1700" s="15">
        <v>20</v>
      </c>
      <c r="I1700" s="163">
        <v>5400</v>
      </c>
      <c r="J1700" s="15">
        <v>60</v>
      </c>
      <c r="K1700" s="163" t="s">
        <v>249</v>
      </c>
      <c r="L1700" s="15">
        <v>3</v>
      </c>
      <c r="M1700" s="188">
        <v>52.2</v>
      </c>
      <c r="N1700" s="169" t="s">
        <v>11</v>
      </c>
    </row>
    <row r="1701" spans="1:14" x14ac:dyDescent="0.25">
      <c r="A1701" s="63" t="s">
        <v>322</v>
      </c>
      <c r="B1701" s="71" t="s">
        <v>382</v>
      </c>
      <c r="C1701" s="2">
        <v>4058075705623</v>
      </c>
      <c r="D1701" s="84"/>
      <c r="E1701" s="85"/>
      <c r="F1701" s="17"/>
      <c r="G1701" s="156" t="str">
        <f>HYPERLINK("https://ledvance.com/pt/product-datasheet/199241/183484","Ficha Técnica")</f>
        <v>Ficha Técnica</v>
      </c>
      <c r="H1701" s="15">
        <v>20</v>
      </c>
      <c r="I1701" s="163">
        <v>5520</v>
      </c>
      <c r="J1701" s="15">
        <v>60</v>
      </c>
      <c r="K1701" s="163" t="s">
        <v>249</v>
      </c>
      <c r="L1701" s="15">
        <v>3</v>
      </c>
      <c r="M1701" s="188">
        <v>52.2</v>
      </c>
      <c r="N1701" s="169" t="s">
        <v>11</v>
      </c>
    </row>
    <row r="1702" spans="1:14" x14ac:dyDescent="0.25">
      <c r="A1702" s="63" t="s">
        <v>322</v>
      </c>
      <c r="B1702" s="71" t="s">
        <v>383</v>
      </c>
      <c r="C1702" s="2">
        <v>4058075705647</v>
      </c>
      <c r="D1702" s="84"/>
      <c r="E1702" s="85"/>
      <c r="F1702" s="17"/>
      <c r="G1702" s="156" t="str">
        <f>HYPERLINK("https://ledvance.com/pt/product-datasheet/199241/183487","Ficha Técnica")</f>
        <v>Ficha Técnica</v>
      </c>
      <c r="H1702" s="15">
        <v>20</v>
      </c>
      <c r="I1702" s="163">
        <v>5820</v>
      </c>
      <c r="J1702" s="15">
        <v>60</v>
      </c>
      <c r="K1702" s="163" t="s">
        <v>249</v>
      </c>
      <c r="L1702" s="15">
        <v>3</v>
      </c>
      <c r="M1702" s="188">
        <v>52.2</v>
      </c>
      <c r="N1702" s="169" t="s">
        <v>11</v>
      </c>
    </row>
    <row r="1703" spans="1:14" x14ac:dyDescent="0.25">
      <c r="A1703" s="63" t="s">
        <v>322</v>
      </c>
      <c r="B1703" s="71" t="s">
        <v>384</v>
      </c>
      <c r="C1703" s="2">
        <v>4058075705661</v>
      </c>
      <c r="D1703" s="84"/>
      <c r="E1703" s="85"/>
      <c r="F1703" s="17"/>
      <c r="G1703" s="156" t="str">
        <f>HYPERLINK("https://ledvance.com/pt/product-datasheet/199241/183490","Ficha Técnica")</f>
        <v>Ficha Técnica</v>
      </c>
      <c r="H1703" s="15">
        <v>20</v>
      </c>
      <c r="I1703" s="163">
        <v>5820</v>
      </c>
      <c r="J1703" s="15">
        <v>60</v>
      </c>
      <c r="K1703" s="163" t="s">
        <v>249</v>
      </c>
      <c r="L1703" s="15">
        <v>3</v>
      </c>
      <c r="M1703" s="188">
        <v>52.2</v>
      </c>
      <c r="N1703" s="169" t="s">
        <v>11</v>
      </c>
    </row>
    <row r="1704" spans="1:14" x14ac:dyDescent="0.25">
      <c r="A1704" s="63" t="s">
        <v>322</v>
      </c>
      <c r="B1704" s="71" t="s">
        <v>385</v>
      </c>
      <c r="C1704" s="2">
        <v>4058075705685</v>
      </c>
      <c r="D1704" s="84"/>
      <c r="E1704" s="85"/>
      <c r="F1704" s="17"/>
      <c r="G1704" s="156" t="str">
        <f>HYPERLINK("https://ledvance.com/pt/product-datasheet/199243/183493","Ficha Técnica")</f>
        <v>Ficha Técnica</v>
      </c>
      <c r="H1704" s="15">
        <v>20</v>
      </c>
      <c r="I1704" s="163">
        <v>6370</v>
      </c>
      <c r="J1704" s="15">
        <v>70</v>
      </c>
      <c r="K1704" s="163" t="s">
        <v>249</v>
      </c>
      <c r="L1704" s="15">
        <v>3</v>
      </c>
      <c r="M1704" s="188">
        <v>58.7</v>
      </c>
      <c r="N1704" s="169" t="s">
        <v>11</v>
      </c>
    </row>
    <row r="1705" spans="1:14" x14ac:dyDescent="0.25">
      <c r="A1705" s="63" t="s">
        <v>322</v>
      </c>
      <c r="B1705" s="71" t="s">
        <v>386</v>
      </c>
      <c r="C1705" s="2">
        <v>4058075705708</v>
      </c>
      <c r="D1705" s="84"/>
      <c r="E1705" s="85"/>
      <c r="F1705" s="17"/>
      <c r="G1705" s="156" t="str">
        <f>HYPERLINK("https://ledvance.com/pt/product-datasheet/199243/183496","Ficha Técnica")</f>
        <v>Ficha Técnica</v>
      </c>
      <c r="H1705" s="15">
        <v>20</v>
      </c>
      <c r="I1705" s="163">
        <v>6580</v>
      </c>
      <c r="J1705" s="15">
        <v>70</v>
      </c>
      <c r="K1705" s="163" t="s">
        <v>249</v>
      </c>
      <c r="L1705" s="15">
        <v>3</v>
      </c>
      <c r="M1705" s="188">
        <v>58.7</v>
      </c>
      <c r="N1705" s="169" t="s">
        <v>11</v>
      </c>
    </row>
    <row r="1706" spans="1:14" x14ac:dyDescent="0.25">
      <c r="A1706" s="63" t="s">
        <v>322</v>
      </c>
      <c r="B1706" s="71" t="s">
        <v>387</v>
      </c>
      <c r="C1706" s="2">
        <v>4058075705722</v>
      </c>
      <c r="D1706" s="84"/>
      <c r="E1706" s="85"/>
      <c r="F1706" s="17"/>
      <c r="G1706" s="156" t="str">
        <f>HYPERLINK("https://ledvance.com/pt/product-datasheet/199243/183499","Ficha Técnica")</f>
        <v>Ficha Técnica</v>
      </c>
      <c r="H1706" s="15">
        <v>20</v>
      </c>
      <c r="I1706" s="163">
        <v>6860</v>
      </c>
      <c r="J1706" s="15">
        <v>70</v>
      </c>
      <c r="K1706" s="163" t="s">
        <v>249</v>
      </c>
      <c r="L1706" s="15">
        <v>3</v>
      </c>
      <c r="M1706" s="188">
        <v>58.7</v>
      </c>
      <c r="N1706" s="169" t="s">
        <v>11</v>
      </c>
    </row>
    <row r="1707" spans="1:14" x14ac:dyDescent="0.25">
      <c r="A1707" s="63" t="s">
        <v>322</v>
      </c>
      <c r="B1707" s="71" t="s">
        <v>388</v>
      </c>
      <c r="C1707" s="2">
        <v>4058075705746</v>
      </c>
      <c r="D1707" s="84"/>
      <c r="E1707" s="85"/>
      <c r="F1707" s="17"/>
      <c r="G1707" s="156" t="str">
        <f>HYPERLINK("https://ledvance.com/pt/product-datasheet/199243/183502","Ficha Técnica")</f>
        <v>Ficha Técnica</v>
      </c>
      <c r="H1707" s="15">
        <v>20</v>
      </c>
      <c r="I1707" s="163">
        <v>6860</v>
      </c>
      <c r="J1707" s="15">
        <v>70</v>
      </c>
      <c r="K1707" s="163" t="s">
        <v>249</v>
      </c>
      <c r="L1707" s="15">
        <v>3</v>
      </c>
      <c r="M1707" s="188">
        <v>58.7</v>
      </c>
      <c r="N1707" s="169" t="s">
        <v>11</v>
      </c>
    </row>
    <row r="1708" spans="1:14" x14ac:dyDescent="0.25">
      <c r="A1708" s="66" t="s">
        <v>322</v>
      </c>
      <c r="B1708" s="79" t="s">
        <v>2181</v>
      </c>
      <c r="C1708" s="52"/>
      <c r="D1708" s="122"/>
      <c r="E1708" s="123"/>
      <c r="F1708" s="12"/>
      <c r="G1708" s="157"/>
      <c r="H1708" s="49"/>
      <c r="I1708" s="165"/>
      <c r="J1708" s="49"/>
      <c r="K1708" s="165"/>
      <c r="L1708" s="49"/>
      <c r="M1708" s="191"/>
      <c r="N1708" s="65"/>
    </row>
    <row r="1709" spans="1:14" x14ac:dyDescent="0.25">
      <c r="A1709" s="63" t="s">
        <v>322</v>
      </c>
      <c r="B1709" s="71" t="s">
        <v>389</v>
      </c>
      <c r="C1709" s="2">
        <v>4058075404441</v>
      </c>
      <c r="D1709" s="84"/>
      <c r="E1709" s="85"/>
      <c r="F1709" s="17"/>
      <c r="G1709" s="156" t="str">
        <f>HYPERLINK("https://ledvance.com/pt/product-datasheet/8372/46766","Ficha Técnica")</f>
        <v>Ficha Técnica</v>
      </c>
      <c r="H1709" s="15">
        <v>10</v>
      </c>
      <c r="I1709" s="163">
        <v>2400</v>
      </c>
      <c r="J1709" s="15">
        <v>67</v>
      </c>
      <c r="K1709" s="163" t="s">
        <v>320</v>
      </c>
      <c r="L1709" s="15"/>
      <c r="M1709" s="188">
        <v>60.2</v>
      </c>
      <c r="N1709" s="169" t="s">
        <v>11</v>
      </c>
    </row>
    <row r="1710" spans="1:14" x14ac:dyDescent="0.25">
      <c r="A1710" s="63" t="s">
        <v>322</v>
      </c>
      <c r="B1710" s="71" t="s">
        <v>390</v>
      </c>
      <c r="C1710" s="2">
        <v>4058075404472</v>
      </c>
      <c r="D1710" s="84"/>
      <c r="E1710" s="85"/>
      <c r="F1710" s="17"/>
      <c r="G1710" s="156" t="str">
        <f>HYPERLINK("https://ledvance.com/pt/product-datasheet/8373/46770","Ficha Técnica")</f>
        <v>Ficha Técnica</v>
      </c>
      <c r="H1710" s="15">
        <v>10</v>
      </c>
      <c r="I1710" s="163">
        <v>2150</v>
      </c>
      <c r="J1710" s="15">
        <v>67</v>
      </c>
      <c r="K1710" s="163" t="s">
        <v>138</v>
      </c>
      <c r="L1710" s="15"/>
      <c r="M1710" s="188">
        <v>86.8</v>
      </c>
      <c r="N1710" s="169" t="s">
        <v>11</v>
      </c>
    </row>
    <row r="1711" spans="1:14" x14ac:dyDescent="0.25">
      <c r="A1711" s="66" t="s">
        <v>322</v>
      </c>
      <c r="B1711" s="79" t="s">
        <v>391</v>
      </c>
      <c r="C1711" s="52"/>
      <c r="D1711" s="122"/>
      <c r="E1711" s="123"/>
      <c r="F1711" s="12"/>
      <c r="G1711" s="157"/>
      <c r="H1711" s="49"/>
      <c r="I1711" s="165"/>
      <c r="J1711" s="49"/>
      <c r="K1711" s="165"/>
      <c r="L1711" s="49"/>
      <c r="M1711" s="191"/>
      <c r="N1711" s="65"/>
    </row>
    <row r="1712" spans="1:14" x14ac:dyDescent="0.25">
      <c r="A1712" s="63" t="s">
        <v>322</v>
      </c>
      <c r="B1712" s="74" t="s">
        <v>392</v>
      </c>
      <c r="C1712" s="60">
        <v>4058075597402</v>
      </c>
      <c r="D1712" s="124"/>
      <c r="E1712" s="125"/>
      <c r="F1712" s="17"/>
      <c r="G1712" s="156" t="str">
        <f>HYPERLINK("https://ledvance.com/pt/product-datasheet/159896/140481","Ficha Técnica")</f>
        <v>Ficha Técnica</v>
      </c>
      <c r="H1712" s="15">
        <v>10</v>
      </c>
      <c r="I1712" s="163">
        <v>2620</v>
      </c>
      <c r="J1712" s="15" t="s">
        <v>1849</v>
      </c>
      <c r="K1712" s="163" t="s">
        <v>320</v>
      </c>
      <c r="L1712" s="15">
        <v>3</v>
      </c>
      <c r="M1712" s="188">
        <v>244.3</v>
      </c>
      <c r="N1712" s="169" t="s">
        <v>11</v>
      </c>
    </row>
    <row r="1713" spans="1:14" x14ac:dyDescent="0.25">
      <c r="A1713" s="63" t="s">
        <v>322</v>
      </c>
      <c r="B1713" s="74" t="s">
        <v>393</v>
      </c>
      <c r="C1713" s="60">
        <v>4058075597419</v>
      </c>
      <c r="D1713" s="124"/>
      <c r="E1713" s="125"/>
      <c r="F1713" s="17"/>
      <c r="G1713" s="156" t="str">
        <f>HYPERLINK("https://ledvance.com/pt/product-datasheet/159896/140484","Ficha Técnica")</f>
        <v>Ficha Técnica</v>
      </c>
      <c r="H1713" s="15">
        <v>10</v>
      </c>
      <c r="I1713" s="163">
        <v>2880</v>
      </c>
      <c r="J1713" s="15" t="s">
        <v>1849</v>
      </c>
      <c r="K1713" s="163" t="s">
        <v>320</v>
      </c>
      <c r="L1713" s="15">
        <v>3</v>
      </c>
      <c r="M1713" s="188">
        <v>244.3</v>
      </c>
      <c r="N1713" s="169" t="s">
        <v>11</v>
      </c>
    </row>
    <row r="1714" spans="1:14" x14ac:dyDescent="0.25">
      <c r="A1714" s="63" t="s">
        <v>322</v>
      </c>
      <c r="B1714" s="74" t="s">
        <v>394</v>
      </c>
      <c r="C1714" s="60">
        <v>4058075597426</v>
      </c>
      <c r="D1714" s="124"/>
      <c r="E1714" s="125"/>
      <c r="F1714" s="17"/>
      <c r="G1714" s="156" t="str">
        <f>HYPERLINK("https://ledvance.com/pt/product-datasheet/159896/140487","Ficha Técnica")</f>
        <v>Ficha Técnica</v>
      </c>
      <c r="H1714" s="15">
        <v>10</v>
      </c>
      <c r="I1714" s="163">
        <v>2880</v>
      </c>
      <c r="J1714" s="15" t="s">
        <v>1849</v>
      </c>
      <c r="K1714" s="163" t="s">
        <v>320</v>
      </c>
      <c r="L1714" s="15">
        <v>3</v>
      </c>
      <c r="M1714" s="188">
        <v>244.3</v>
      </c>
      <c r="N1714" s="169" t="s">
        <v>11</v>
      </c>
    </row>
    <row r="1715" spans="1:14" x14ac:dyDescent="0.25">
      <c r="A1715" s="63" t="s">
        <v>322</v>
      </c>
      <c r="B1715" s="74" t="s">
        <v>395</v>
      </c>
      <c r="C1715" s="60">
        <v>4058075597433</v>
      </c>
      <c r="D1715" s="124"/>
      <c r="E1715" s="125"/>
      <c r="F1715" s="17"/>
      <c r="G1715" s="156" t="str">
        <f>HYPERLINK("https://ledvance.com/pt/product-datasheet/159919/140490","Ficha Técnica")</f>
        <v>Ficha Técnica</v>
      </c>
      <c r="H1715" s="15">
        <v>10</v>
      </c>
      <c r="I1715" s="163">
        <v>6150</v>
      </c>
      <c r="J1715" s="15">
        <v>60</v>
      </c>
      <c r="K1715" s="163" t="s">
        <v>320</v>
      </c>
      <c r="L1715" s="15">
        <v>3</v>
      </c>
      <c r="M1715" s="188">
        <v>358.2</v>
      </c>
      <c r="N1715" s="169" t="s">
        <v>11</v>
      </c>
    </row>
    <row r="1716" spans="1:14" x14ac:dyDescent="0.25">
      <c r="A1716" s="63" t="s">
        <v>322</v>
      </c>
      <c r="B1716" s="74" t="s">
        <v>396</v>
      </c>
      <c r="C1716" s="60">
        <v>4058075597440</v>
      </c>
      <c r="D1716" s="124"/>
      <c r="E1716" s="125"/>
      <c r="F1716" s="17"/>
      <c r="G1716" s="156" t="str">
        <f>HYPERLINK("https://ledvance.com/pt/product-datasheet/159919/140493","Ficha Técnica")</f>
        <v>Ficha Técnica</v>
      </c>
      <c r="H1716" s="15">
        <v>10</v>
      </c>
      <c r="I1716" s="163">
        <v>6280</v>
      </c>
      <c r="J1716" s="15">
        <v>60</v>
      </c>
      <c r="K1716" s="163" t="s">
        <v>320</v>
      </c>
      <c r="L1716" s="15">
        <v>3</v>
      </c>
      <c r="M1716" s="188">
        <v>358.2</v>
      </c>
      <c r="N1716" s="169" t="s">
        <v>11</v>
      </c>
    </row>
    <row r="1717" spans="1:14" x14ac:dyDescent="0.25">
      <c r="A1717" s="63" t="s">
        <v>322</v>
      </c>
      <c r="B1717" s="74" t="s">
        <v>397</v>
      </c>
      <c r="C1717" s="60">
        <v>4058075597457</v>
      </c>
      <c r="D1717" s="124"/>
      <c r="E1717" s="125"/>
      <c r="F1717" s="17"/>
      <c r="G1717" s="156" t="str">
        <f>HYPERLINK("https://ledvance.com/pt/product-datasheet/159919/140496","Ficha Técnica")</f>
        <v>Ficha Técnica</v>
      </c>
      <c r="H1717" s="15">
        <v>10</v>
      </c>
      <c r="I1717" s="163">
        <v>6280</v>
      </c>
      <c r="J1717" s="15">
        <v>60</v>
      </c>
      <c r="K1717" s="163" t="s">
        <v>320</v>
      </c>
      <c r="L1717" s="15">
        <v>3</v>
      </c>
      <c r="M1717" s="188">
        <v>358.2</v>
      </c>
      <c r="N1717" s="169" t="s">
        <v>11</v>
      </c>
    </row>
    <row r="1718" spans="1:14" x14ac:dyDescent="0.25">
      <c r="A1718" s="63" t="s">
        <v>322</v>
      </c>
      <c r="B1718" s="74" t="s">
        <v>398</v>
      </c>
      <c r="C1718" s="60">
        <v>4058075597464</v>
      </c>
      <c r="D1718" s="124"/>
      <c r="E1718" s="125"/>
      <c r="F1718" s="17"/>
      <c r="G1718" s="156" t="str">
        <f>HYPERLINK("https://ledvance.com/pt/product-datasheet/159994/140499","Ficha Técnica")</f>
        <v>Ficha Técnica</v>
      </c>
      <c r="H1718" s="15">
        <v>3</v>
      </c>
      <c r="I1718" s="163">
        <v>2500</v>
      </c>
      <c r="J1718" s="15" t="s">
        <v>1849</v>
      </c>
      <c r="K1718" s="163" t="s">
        <v>138</v>
      </c>
      <c r="L1718" s="15">
        <v>3</v>
      </c>
      <c r="M1718" s="188">
        <v>195.6</v>
      </c>
      <c r="N1718" s="169" t="s">
        <v>11</v>
      </c>
    </row>
    <row r="1719" spans="1:14" x14ac:dyDescent="0.25">
      <c r="A1719" s="63" t="s">
        <v>322</v>
      </c>
      <c r="B1719" s="74" t="s">
        <v>399</v>
      </c>
      <c r="C1719" s="60">
        <v>4058075597471</v>
      </c>
      <c r="D1719" s="124"/>
      <c r="E1719" s="125"/>
      <c r="F1719" s="17"/>
      <c r="G1719" s="156" t="str">
        <f>HYPERLINK("https://ledvance.com/pt/product-datasheet/159994/140502","Ficha Técnica")</f>
        <v>Ficha Técnica</v>
      </c>
      <c r="H1719" s="15">
        <v>3</v>
      </c>
      <c r="I1719" s="163">
        <v>2740</v>
      </c>
      <c r="J1719" s="15" t="s">
        <v>1849</v>
      </c>
      <c r="K1719" s="163" t="s">
        <v>138</v>
      </c>
      <c r="L1719" s="15">
        <v>3</v>
      </c>
      <c r="M1719" s="188">
        <v>195.6</v>
      </c>
      <c r="N1719" s="169" t="s">
        <v>11</v>
      </c>
    </row>
    <row r="1720" spans="1:14" x14ac:dyDescent="0.25">
      <c r="A1720" s="63" t="s">
        <v>322</v>
      </c>
      <c r="B1720" s="74" t="s">
        <v>400</v>
      </c>
      <c r="C1720" s="60">
        <v>4058075597488</v>
      </c>
      <c r="D1720" s="124"/>
      <c r="E1720" s="125"/>
      <c r="F1720" s="17"/>
      <c r="G1720" s="156" t="str">
        <f>HYPERLINK("https://ledvance.com/pt/product-datasheet/159994/140505","Ficha Técnica")</f>
        <v>Ficha Técnica</v>
      </c>
      <c r="H1720" s="15">
        <v>3</v>
      </c>
      <c r="I1720" s="163">
        <v>2740</v>
      </c>
      <c r="J1720" s="15" t="s">
        <v>1849</v>
      </c>
      <c r="K1720" s="163" t="s">
        <v>138</v>
      </c>
      <c r="L1720" s="15">
        <v>3</v>
      </c>
      <c r="M1720" s="188">
        <v>195.6</v>
      </c>
      <c r="N1720" s="169" t="s">
        <v>11</v>
      </c>
    </row>
    <row r="1721" spans="1:14" x14ac:dyDescent="0.25">
      <c r="A1721" s="63" t="s">
        <v>322</v>
      </c>
      <c r="B1721" s="74" t="s">
        <v>401</v>
      </c>
      <c r="C1721" s="60">
        <v>4058075597495</v>
      </c>
      <c r="D1721" s="124"/>
      <c r="E1721" s="125"/>
      <c r="F1721" s="17"/>
      <c r="G1721" s="156" t="str">
        <f>HYPERLINK("https://ledvance.com/pt/product-datasheet/159999/140508","Ficha Técnica")</f>
        <v>Ficha Técnica</v>
      </c>
      <c r="H1721" s="15">
        <v>3</v>
      </c>
      <c r="I1721" s="163">
        <v>5850</v>
      </c>
      <c r="J1721" s="15">
        <v>60</v>
      </c>
      <c r="K1721" s="163" t="s">
        <v>138</v>
      </c>
      <c r="L1721" s="15">
        <v>3</v>
      </c>
      <c r="M1721" s="188">
        <v>293.2</v>
      </c>
      <c r="N1721" s="169" t="s">
        <v>11</v>
      </c>
    </row>
    <row r="1722" spans="1:14" x14ac:dyDescent="0.25">
      <c r="A1722" s="63" t="s">
        <v>322</v>
      </c>
      <c r="B1722" s="74" t="s">
        <v>402</v>
      </c>
      <c r="C1722" s="60">
        <v>4058075597501</v>
      </c>
      <c r="D1722" s="124"/>
      <c r="E1722" s="125"/>
      <c r="F1722" s="17"/>
      <c r="G1722" s="156" t="str">
        <f>HYPERLINK("https://ledvance.com/pt/product-datasheet/159999/140511","Ficha Técnica")</f>
        <v>Ficha Técnica</v>
      </c>
      <c r="H1722" s="15">
        <v>3</v>
      </c>
      <c r="I1722" s="163">
        <v>5970</v>
      </c>
      <c r="J1722" s="15">
        <v>60</v>
      </c>
      <c r="K1722" s="163" t="s">
        <v>138</v>
      </c>
      <c r="L1722" s="15">
        <v>3</v>
      </c>
      <c r="M1722" s="188">
        <v>293.2</v>
      </c>
      <c r="N1722" s="169" t="s">
        <v>11</v>
      </c>
    </row>
    <row r="1723" spans="1:14" x14ac:dyDescent="0.25">
      <c r="A1723" s="63" t="s">
        <v>322</v>
      </c>
      <c r="B1723" s="74" t="s">
        <v>403</v>
      </c>
      <c r="C1723" s="60">
        <v>4058075597518</v>
      </c>
      <c r="D1723" s="124"/>
      <c r="E1723" s="125"/>
      <c r="F1723" s="17"/>
      <c r="G1723" s="156" t="str">
        <f>HYPERLINK("https://ledvance.com/pt/product-datasheet/159999/140514","Ficha Técnica")</f>
        <v>Ficha Técnica</v>
      </c>
      <c r="H1723" s="15">
        <v>3</v>
      </c>
      <c r="I1723" s="163">
        <v>5970</v>
      </c>
      <c r="J1723" s="15">
        <v>60</v>
      </c>
      <c r="K1723" s="163" t="s">
        <v>138</v>
      </c>
      <c r="L1723" s="15">
        <v>3</v>
      </c>
      <c r="M1723" s="188">
        <v>293.2</v>
      </c>
      <c r="N1723" s="169" t="s">
        <v>11</v>
      </c>
    </row>
    <row r="1724" spans="1:14" x14ac:dyDescent="0.25">
      <c r="A1724" s="66" t="s">
        <v>404</v>
      </c>
      <c r="B1724" s="79" t="s">
        <v>2127</v>
      </c>
      <c r="C1724" s="51"/>
      <c r="D1724" s="65"/>
      <c r="E1724" s="86"/>
      <c r="F1724" s="12"/>
      <c r="G1724" s="157"/>
      <c r="H1724" s="12"/>
      <c r="I1724" s="62"/>
      <c r="J1724" s="27"/>
      <c r="K1724" s="62"/>
      <c r="L1724" s="12"/>
      <c r="M1724" s="191"/>
      <c r="N1724" s="65"/>
    </row>
    <row r="1725" spans="1:14" x14ac:dyDescent="0.25">
      <c r="A1725" s="63" t="s">
        <v>404</v>
      </c>
      <c r="B1725" s="74" t="s">
        <v>405</v>
      </c>
      <c r="C1725" s="2">
        <v>4058075435834</v>
      </c>
      <c r="D1725" s="84"/>
      <c r="E1725" s="85"/>
      <c r="F1725" s="17"/>
      <c r="G1725" s="156" t="str">
        <f>HYPERLINK("https://ledvance.com/pt/product-datasheet/8048/112345","Ficha Técnica")</f>
        <v>Ficha Técnica</v>
      </c>
      <c r="H1725" s="15">
        <v>10</v>
      </c>
      <c r="I1725" s="163"/>
      <c r="J1725" s="15">
        <v>300</v>
      </c>
      <c r="K1725" s="163" t="s">
        <v>46</v>
      </c>
      <c r="L1725" s="15">
        <v>5</v>
      </c>
      <c r="M1725" s="188">
        <v>41.1</v>
      </c>
      <c r="N1725" s="169" t="s">
        <v>11</v>
      </c>
    </row>
    <row r="1726" spans="1:14" x14ac:dyDescent="0.25">
      <c r="A1726" s="63" t="s">
        <v>404</v>
      </c>
      <c r="B1726" s="74" t="s">
        <v>406</v>
      </c>
      <c r="C1726" s="2">
        <v>4058075435926</v>
      </c>
      <c r="D1726" s="84"/>
      <c r="E1726" s="85"/>
      <c r="F1726" s="17"/>
      <c r="G1726" s="156" t="str">
        <f>HYPERLINK("https://ledvance.com/pt/product-datasheet/8053/112357","Ficha Técnica")</f>
        <v>Ficha Técnica</v>
      </c>
      <c r="H1726" s="15">
        <v>10</v>
      </c>
      <c r="I1726" s="163"/>
      <c r="J1726" s="15" t="s">
        <v>1850</v>
      </c>
      <c r="K1726" s="163" t="s">
        <v>46</v>
      </c>
      <c r="L1726" s="15">
        <v>5</v>
      </c>
      <c r="M1726" s="188">
        <v>42.7</v>
      </c>
      <c r="N1726" s="169" t="s">
        <v>11</v>
      </c>
    </row>
    <row r="1727" spans="1:14" x14ac:dyDescent="0.25">
      <c r="A1727" s="63" t="s">
        <v>404</v>
      </c>
      <c r="B1727" s="74" t="s">
        <v>407</v>
      </c>
      <c r="C1727" s="2">
        <v>4058075435858</v>
      </c>
      <c r="D1727" s="84"/>
      <c r="E1727" s="85"/>
      <c r="F1727" s="17"/>
      <c r="G1727" s="156" t="str">
        <f>HYPERLINK("https://ledvance.com/pt/product-datasheet/8052/112349","Ficha Técnica")</f>
        <v>Ficha Técnica</v>
      </c>
      <c r="H1727" s="15">
        <v>10</v>
      </c>
      <c r="I1727" s="163"/>
      <c r="J1727" s="15" t="s">
        <v>1850</v>
      </c>
      <c r="K1727" s="163" t="s">
        <v>46</v>
      </c>
      <c r="L1727" s="15">
        <v>5</v>
      </c>
      <c r="M1727" s="188">
        <v>42.7</v>
      </c>
      <c r="N1727" s="169" t="s">
        <v>11</v>
      </c>
    </row>
    <row r="1728" spans="1:14" x14ac:dyDescent="0.25">
      <c r="A1728" s="63" t="s">
        <v>404</v>
      </c>
      <c r="B1728" s="74" t="s">
        <v>3440</v>
      </c>
      <c r="C1728" s="2">
        <v>4058075435940</v>
      </c>
      <c r="D1728" s="84"/>
      <c r="E1728" s="85"/>
      <c r="F1728" s="17"/>
      <c r="G1728" s="156" t="str">
        <f>HYPERLINK("https://ledvance.com/pt/product-datasheet/8056/112361","Ficha Técnica")</f>
        <v>Ficha Técnica</v>
      </c>
      <c r="H1728" s="15">
        <v>10</v>
      </c>
      <c r="I1728" s="163"/>
      <c r="J1728" s="15">
        <v>23</v>
      </c>
      <c r="K1728" s="163" t="s">
        <v>46</v>
      </c>
      <c r="L1728" s="15">
        <v>5</v>
      </c>
      <c r="M1728" s="188">
        <v>91.9</v>
      </c>
      <c r="N1728" s="169" t="s">
        <v>11</v>
      </c>
    </row>
    <row r="1729" spans="1:14" x14ac:dyDescent="0.25">
      <c r="A1729" s="63" t="s">
        <v>404</v>
      </c>
      <c r="B1729" s="74" t="s">
        <v>3441</v>
      </c>
      <c r="C1729" s="2">
        <v>4058075435896</v>
      </c>
      <c r="D1729" s="84"/>
      <c r="E1729" s="85"/>
      <c r="F1729" s="17"/>
      <c r="G1729" s="156" t="str">
        <f>HYPERLINK("https://ledvance.com/pt/product-datasheet/8055/112353","Ficha Técnica")</f>
        <v>Ficha Técnica</v>
      </c>
      <c r="H1729" s="15">
        <v>10</v>
      </c>
      <c r="I1729" s="163"/>
      <c r="J1729" s="15">
        <v>23</v>
      </c>
      <c r="K1729" s="163" t="s">
        <v>46</v>
      </c>
      <c r="L1729" s="15">
        <v>5</v>
      </c>
      <c r="M1729" s="188">
        <v>91.9</v>
      </c>
      <c r="N1729" s="169" t="s">
        <v>11</v>
      </c>
    </row>
    <row r="1730" spans="1:14" x14ac:dyDescent="0.25">
      <c r="A1730" s="66" t="s">
        <v>404</v>
      </c>
      <c r="B1730" s="79" t="s">
        <v>2117</v>
      </c>
      <c r="C1730" s="51"/>
      <c r="D1730" s="65"/>
      <c r="E1730" s="86"/>
      <c r="F1730" s="12"/>
      <c r="G1730" s="157"/>
      <c r="H1730" s="12"/>
      <c r="I1730" s="62"/>
      <c r="J1730" s="27"/>
      <c r="K1730" s="62"/>
      <c r="L1730" s="12"/>
      <c r="M1730" s="191"/>
      <c r="N1730" s="65"/>
    </row>
    <row r="1731" spans="1:14" x14ac:dyDescent="0.25">
      <c r="A1731" s="63" t="s">
        <v>404</v>
      </c>
      <c r="B1731" s="74" t="s">
        <v>408</v>
      </c>
      <c r="C1731" s="2">
        <v>4058075451322</v>
      </c>
      <c r="D1731" s="84"/>
      <c r="E1731" s="101"/>
      <c r="F1731" s="17"/>
      <c r="G1731" s="156" t="str">
        <f>HYPERLINK("https://ledvance.com/pt/product-datasheet/8418/106134","Ficha Técnica")</f>
        <v>Ficha Técnica</v>
      </c>
      <c r="H1731" s="15">
        <v>100</v>
      </c>
      <c r="I1731" s="163"/>
      <c r="J1731" s="15"/>
      <c r="K1731" s="163" t="s">
        <v>320</v>
      </c>
      <c r="L1731" s="15"/>
      <c r="M1731" s="188">
        <v>10.5</v>
      </c>
      <c r="N1731" s="169" t="s">
        <v>11</v>
      </c>
    </row>
    <row r="1732" spans="1:14" x14ac:dyDescent="0.25">
      <c r="A1732" s="63" t="s">
        <v>404</v>
      </c>
      <c r="B1732" s="74" t="s">
        <v>409</v>
      </c>
      <c r="C1732" s="2">
        <v>4058075451353</v>
      </c>
      <c r="D1732" s="84"/>
      <c r="E1732" s="101"/>
      <c r="F1732" s="17"/>
      <c r="G1732" s="156" t="str">
        <f>HYPERLINK("https://ledvance.com/pt/product-datasheet/8418/106138","Ficha Técnica")</f>
        <v>Ficha Técnica</v>
      </c>
      <c r="H1732" s="15">
        <v>100</v>
      </c>
      <c r="I1732" s="163"/>
      <c r="J1732" s="15"/>
      <c r="K1732" s="163" t="s">
        <v>320</v>
      </c>
      <c r="L1732" s="15"/>
      <c r="M1732" s="188">
        <v>7.1</v>
      </c>
      <c r="N1732" s="169" t="s">
        <v>11</v>
      </c>
    </row>
    <row r="1733" spans="1:14" x14ac:dyDescent="0.25">
      <c r="A1733" s="63" t="s">
        <v>404</v>
      </c>
      <c r="B1733" s="74" t="s">
        <v>410</v>
      </c>
      <c r="C1733" s="2">
        <v>4058075451384</v>
      </c>
      <c r="D1733" s="84"/>
      <c r="E1733" s="101"/>
      <c r="F1733" s="17"/>
      <c r="G1733" s="156" t="str">
        <f>HYPERLINK("https://ledvance.com/pt/product-datasheet/8418/106142","Ficha Técnica")</f>
        <v>Ficha Técnica</v>
      </c>
      <c r="H1733" s="15">
        <v>100</v>
      </c>
      <c r="I1733" s="163"/>
      <c r="J1733" s="15"/>
      <c r="K1733" s="163" t="s">
        <v>320</v>
      </c>
      <c r="L1733" s="15"/>
      <c r="M1733" s="188">
        <v>9.6999999999999993</v>
      </c>
      <c r="N1733" s="169" t="s">
        <v>11</v>
      </c>
    </row>
    <row r="1734" spans="1:14" x14ac:dyDescent="0.25">
      <c r="A1734" s="63" t="s">
        <v>404</v>
      </c>
      <c r="B1734" s="74" t="s">
        <v>411</v>
      </c>
      <c r="C1734" s="2">
        <v>4058075451414</v>
      </c>
      <c r="D1734" s="84"/>
      <c r="E1734" s="101"/>
      <c r="F1734" s="17"/>
      <c r="G1734" s="156" t="str">
        <f>HYPERLINK("https://ledvance.com/pt/product-datasheet/8418/106146","Ficha Técnica")</f>
        <v>Ficha Técnica</v>
      </c>
      <c r="H1734" s="15">
        <v>100</v>
      </c>
      <c r="I1734" s="163"/>
      <c r="J1734" s="15"/>
      <c r="K1734" s="163" t="s">
        <v>249</v>
      </c>
      <c r="L1734" s="15"/>
      <c r="M1734" s="188">
        <v>10.5</v>
      </c>
      <c r="N1734" s="169" t="s">
        <v>11</v>
      </c>
    </row>
    <row r="1735" spans="1:14" x14ac:dyDescent="0.25">
      <c r="A1735" s="63" t="s">
        <v>404</v>
      </c>
      <c r="B1735" s="74" t="s">
        <v>412</v>
      </c>
      <c r="C1735" s="2">
        <v>4058075451445</v>
      </c>
      <c r="D1735" s="84"/>
      <c r="E1735" s="101"/>
      <c r="F1735" s="17"/>
      <c r="G1735" s="156" t="str">
        <f>HYPERLINK("https://ledvance.com/pt/product-datasheet/8418/106150","Ficha Técnica")</f>
        <v>Ficha Técnica</v>
      </c>
      <c r="H1735" s="15">
        <v>100</v>
      </c>
      <c r="I1735" s="163"/>
      <c r="J1735" s="15"/>
      <c r="K1735" s="163" t="s">
        <v>249</v>
      </c>
      <c r="L1735" s="15"/>
      <c r="M1735" s="188">
        <v>7.1</v>
      </c>
      <c r="N1735" s="169" t="s">
        <v>11</v>
      </c>
    </row>
    <row r="1736" spans="1:14" x14ac:dyDescent="0.25">
      <c r="A1736" s="63" t="s">
        <v>404</v>
      </c>
      <c r="B1736" s="74" t="s">
        <v>413</v>
      </c>
      <c r="C1736" s="2">
        <v>4058075451537</v>
      </c>
      <c r="D1736" s="84"/>
      <c r="E1736" s="101"/>
      <c r="F1736" s="17"/>
      <c r="G1736" s="156" t="str">
        <f>HYPERLINK("https://ledvance.com/pt/product-datasheet/8418/106154","Ficha Técnica")</f>
        <v>Ficha Técnica</v>
      </c>
      <c r="H1736" s="15">
        <v>100</v>
      </c>
      <c r="I1736" s="163"/>
      <c r="J1736" s="15"/>
      <c r="K1736" s="163" t="s">
        <v>249</v>
      </c>
      <c r="L1736" s="15"/>
      <c r="M1736" s="188">
        <v>9.6999999999999993</v>
      </c>
      <c r="N1736" s="169" t="s">
        <v>11</v>
      </c>
    </row>
    <row r="1737" spans="1:14" x14ac:dyDescent="0.25">
      <c r="A1737" s="63" t="s">
        <v>404</v>
      </c>
      <c r="B1737" s="74" t="s">
        <v>414</v>
      </c>
      <c r="C1737" s="2">
        <v>4058075654075</v>
      </c>
      <c r="D1737" s="124"/>
      <c r="E1737" s="126"/>
      <c r="F1737" s="17"/>
      <c r="G1737" s="156" t="str">
        <f>HYPERLINK("https://ledvance.com/pt/product-datasheet/167665/165753","Ficha Técnica")</f>
        <v>Ficha Técnica</v>
      </c>
      <c r="H1737" s="15">
        <v>150</v>
      </c>
      <c r="I1737" s="163"/>
      <c r="J1737" s="15"/>
      <c r="K1737" s="163" t="s">
        <v>320</v>
      </c>
      <c r="L1737" s="15"/>
      <c r="M1737" s="188">
        <v>2.7</v>
      </c>
      <c r="N1737" s="169" t="s">
        <v>11</v>
      </c>
    </row>
    <row r="1738" spans="1:14" x14ac:dyDescent="0.25">
      <c r="A1738" s="63" t="s">
        <v>404</v>
      </c>
      <c r="B1738" s="74" t="s">
        <v>415</v>
      </c>
      <c r="C1738" s="2">
        <v>4058075654099</v>
      </c>
      <c r="D1738" s="124"/>
      <c r="E1738" s="126"/>
      <c r="F1738" s="17"/>
      <c r="G1738" s="156" t="str">
        <f>HYPERLINK("https://ledvance.com/pt/product-datasheet/167665/165756","Ficha Técnica")</f>
        <v>Ficha Técnica</v>
      </c>
      <c r="H1738" s="15">
        <v>300</v>
      </c>
      <c r="I1738" s="163"/>
      <c r="J1738" s="15"/>
      <c r="K1738" s="163" t="s">
        <v>320</v>
      </c>
      <c r="L1738" s="15"/>
      <c r="M1738" s="188">
        <v>4.5</v>
      </c>
      <c r="N1738" s="169" t="s">
        <v>11</v>
      </c>
    </row>
    <row r="1739" spans="1:14" x14ac:dyDescent="0.25">
      <c r="A1739" s="63" t="s">
        <v>404</v>
      </c>
      <c r="B1739" s="74" t="s">
        <v>416</v>
      </c>
      <c r="C1739" s="2">
        <v>4058075654112</v>
      </c>
      <c r="D1739" s="124"/>
      <c r="E1739" s="126"/>
      <c r="F1739" s="17"/>
      <c r="G1739" s="156" t="str">
        <f>HYPERLINK("https://ledvance.com/pt/product-datasheet/167665/253640","Ficha Técnica")</f>
        <v>Ficha Técnica</v>
      </c>
      <c r="H1739" s="15">
        <v>400</v>
      </c>
      <c r="I1739" s="163"/>
      <c r="J1739" s="15"/>
      <c r="K1739" s="163" t="s">
        <v>320</v>
      </c>
      <c r="L1739" s="15"/>
      <c r="M1739" s="188">
        <v>3.5</v>
      </c>
      <c r="N1739" s="169" t="s">
        <v>11</v>
      </c>
    </row>
    <row r="1740" spans="1:14" x14ac:dyDescent="0.25">
      <c r="A1740" s="63" t="s">
        <v>404</v>
      </c>
      <c r="B1740" s="74" t="s">
        <v>417</v>
      </c>
      <c r="C1740" s="2">
        <v>4058075727403</v>
      </c>
      <c r="D1740" s="103"/>
      <c r="E1740" s="127"/>
      <c r="F1740" s="17"/>
      <c r="G1740" s="156" t="str">
        <f>HYPERLINK("https://ledvance.com/pt/product-datasheet/200718/193643","Ficha Técnica")</f>
        <v>Ficha Técnica</v>
      </c>
      <c r="H1740" s="15">
        <v>100</v>
      </c>
      <c r="I1740" s="163"/>
      <c r="J1740" s="15"/>
      <c r="K1740" s="163" t="s">
        <v>320</v>
      </c>
      <c r="L1740" s="15"/>
      <c r="M1740" s="188">
        <v>7.3</v>
      </c>
      <c r="N1740" s="169" t="s">
        <v>11</v>
      </c>
    </row>
    <row r="1741" spans="1:14" x14ac:dyDescent="0.25">
      <c r="A1741" s="63" t="s">
        <v>404</v>
      </c>
      <c r="B1741" s="74" t="s">
        <v>418</v>
      </c>
      <c r="C1741" s="2">
        <v>4058075727465</v>
      </c>
      <c r="D1741" s="103"/>
      <c r="E1741" s="127"/>
      <c r="F1741" s="17"/>
      <c r="G1741" s="156" t="str">
        <f>HYPERLINK("https://ledvance.com/pt/product-datasheet/200718/193668","Ficha Técnica")</f>
        <v>Ficha Técnica</v>
      </c>
      <c r="H1741" s="15">
        <v>100</v>
      </c>
      <c r="I1741" s="163"/>
      <c r="J1741" s="15"/>
      <c r="K1741" s="163" t="s">
        <v>288</v>
      </c>
      <c r="L1741" s="15"/>
      <c r="M1741" s="188">
        <v>9.4</v>
      </c>
      <c r="N1741" s="169" t="s">
        <v>11</v>
      </c>
    </row>
    <row r="1742" spans="1:14" x14ac:dyDescent="0.25">
      <c r="A1742" s="63" t="s">
        <v>404</v>
      </c>
      <c r="B1742" s="74" t="s">
        <v>419</v>
      </c>
      <c r="C1742" s="2">
        <v>4058075727526</v>
      </c>
      <c r="D1742" s="103"/>
      <c r="E1742" s="127"/>
      <c r="F1742" s="17"/>
      <c r="G1742" s="156" t="str">
        <f>HYPERLINK("https://ledvance.com/pt/product-datasheet/200718/193657","Ficha Técnica")</f>
        <v>Ficha Técnica</v>
      </c>
      <c r="H1742" s="15">
        <v>100</v>
      </c>
      <c r="I1742" s="163"/>
      <c r="J1742" s="15"/>
      <c r="K1742" s="163" t="s">
        <v>320</v>
      </c>
      <c r="L1742" s="15"/>
      <c r="M1742" s="188">
        <v>4.3</v>
      </c>
      <c r="N1742" s="169" t="s">
        <v>11</v>
      </c>
    </row>
    <row r="1743" spans="1:14" x14ac:dyDescent="0.25">
      <c r="A1743" s="63" t="s">
        <v>404</v>
      </c>
      <c r="B1743" s="74" t="s">
        <v>420</v>
      </c>
      <c r="C1743" s="2">
        <v>4058075727557</v>
      </c>
      <c r="D1743" s="103"/>
      <c r="E1743" s="127"/>
      <c r="F1743" s="17"/>
      <c r="G1743" s="156" t="str">
        <f>HYPERLINK("https://ledvance.com/pt/product-datasheet/200718/193676","Ficha Técnica")</f>
        <v>Ficha Técnica</v>
      </c>
      <c r="H1743" s="15">
        <v>100</v>
      </c>
      <c r="I1743" s="163"/>
      <c r="J1743" s="15"/>
      <c r="K1743" s="163" t="s">
        <v>288</v>
      </c>
      <c r="L1743" s="15"/>
      <c r="M1743" s="188">
        <v>5.9</v>
      </c>
      <c r="N1743" s="169" t="s">
        <v>11</v>
      </c>
    </row>
    <row r="1744" spans="1:14" x14ac:dyDescent="0.25">
      <c r="A1744" s="63" t="s">
        <v>404</v>
      </c>
      <c r="B1744" s="74" t="s">
        <v>421</v>
      </c>
      <c r="C1744" s="2">
        <v>4058075727434</v>
      </c>
      <c r="D1744" s="103"/>
      <c r="E1744" s="127"/>
      <c r="F1744" s="17"/>
      <c r="G1744" s="156" t="str">
        <f>HYPERLINK("https://ledvance.com/pt/product-datasheet/200718/193649","Ficha Técnica")</f>
        <v>Ficha Técnica</v>
      </c>
      <c r="H1744" s="15">
        <v>100</v>
      </c>
      <c r="I1744" s="163"/>
      <c r="J1744" s="15"/>
      <c r="K1744" s="163" t="s">
        <v>320</v>
      </c>
      <c r="L1744" s="15"/>
      <c r="M1744" s="188">
        <v>7.3</v>
      </c>
      <c r="N1744" s="169" t="s">
        <v>11</v>
      </c>
    </row>
    <row r="1745" spans="1:14" x14ac:dyDescent="0.25">
      <c r="A1745" s="63" t="s">
        <v>404</v>
      </c>
      <c r="B1745" s="74" t="s">
        <v>422</v>
      </c>
      <c r="C1745" s="2">
        <v>4058075727496</v>
      </c>
      <c r="D1745" s="103"/>
      <c r="E1745" s="127"/>
      <c r="F1745" s="17"/>
      <c r="G1745" s="156" t="str">
        <f>HYPERLINK("https://ledvance.com/pt/product-datasheet/200718/193672","Ficha Técnica")</f>
        <v>Ficha Técnica</v>
      </c>
      <c r="H1745" s="15">
        <v>100</v>
      </c>
      <c r="I1745" s="163"/>
      <c r="J1745" s="15"/>
      <c r="K1745" s="163" t="s">
        <v>288</v>
      </c>
      <c r="L1745" s="15"/>
      <c r="M1745" s="188">
        <v>11.5</v>
      </c>
      <c r="N1745" s="169" t="s">
        <v>11</v>
      </c>
    </row>
    <row r="1746" spans="1:14" x14ac:dyDescent="0.25">
      <c r="A1746" s="63" t="s">
        <v>404</v>
      </c>
      <c r="B1746" s="74" t="s">
        <v>423</v>
      </c>
      <c r="C1746" s="2">
        <v>4099854358968</v>
      </c>
      <c r="D1746" s="95">
        <v>4058075451087</v>
      </c>
      <c r="E1746" s="102" t="s">
        <v>1406</v>
      </c>
      <c r="F1746" s="17"/>
      <c r="G1746" s="156" t="str">
        <f>HYPERLINK("https://ledvance.com/pt/product-datasheet/332831/319476","Ficha Técnica")</f>
        <v>Ficha Técnica</v>
      </c>
      <c r="H1746" s="15">
        <v>50</v>
      </c>
      <c r="I1746" s="163"/>
      <c r="J1746" s="15"/>
      <c r="K1746" s="163" t="s">
        <v>46</v>
      </c>
      <c r="L1746" s="15">
        <v>5</v>
      </c>
      <c r="M1746" s="188">
        <v>11.2</v>
      </c>
      <c r="N1746" s="169" t="s">
        <v>11</v>
      </c>
    </row>
    <row r="1747" spans="1:14" x14ac:dyDescent="0.25">
      <c r="A1747" s="63" t="s">
        <v>404</v>
      </c>
      <c r="B1747" s="74" t="s">
        <v>424</v>
      </c>
      <c r="C1747" s="2">
        <v>4099854359101</v>
      </c>
      <c r="D1747" s="95">
        <v>4058075451117</v>
      </c>
      <c r="E1747" s="102" t="s">
        <v>1406</v>
      </c>
      <c r="F1747" s="17"/>
      <c r="G1747" s="156" t="str">
        <f>HYPERLINK("https://ledvance.com/pt/product-datasheet/332831/319490","Ficha Técnica")</f>
        <v>Ficha Técnica</v>
      </c>
      <c r="H1747" s="15">
        <v>50</v>
      </c>
      <c r="I1747" s="163"/>
      <c r="J1747" s="15"/>
      <c r="K1747" s="163" t="s">
        <v>46</v>
      </c>
      <c r="L1747" s="15">
        <v>5</v>
      </c>
      <c r="M1747" s="188">
        <v>7.1</v>
      </c>
      <c r="N1747" s="169" t="s">
        <v>11</v>
      </c>
    </row>
    <row r="1748" spans="1:14" x14ac:dyDescent="0.25">
      <c r="A1748" s="63" t="s">
        <v>404</v>
      </c>
      <c r="B1748" s="74" t="s">
        <v>425</v>
      </c>
      <c r="C1748" s="2">
        <v>4099854359057</v>
      </c>
      <c r="D1748" s="95">
        <v>4058075451148</v>
      </c>
      <c r="E1748" s="102" t="s">
        <v>1406</v>
      </c>
      <c r="F1748" s="17"/>
      <c r="G1748" s="156" t="str">
        <f>HYPERLINK("https://ledvance.com/pt/product-datasheet/332831/319483","Ficha Técnica")</f>
        <v>Ficha Técnica</v>
      </c>
      <c r="H1748" s="15">
        <v>50</v>
      </c>
      <c r="I1748" s="163"/>
      <c r="J1748" s="15"/>
      <c r="K1748" s="163" t="s">
        <v>46</v>
      </c>
      <c r="L1748" s="15">
        <v>5</v>
      </c>
      <c r="M1748" s="188">
        <v>10.5</v>
      </c>
      <c r="N1748" s="169" t="s">
        <v>11</v>
      </c>
    </row>
    <row r="1749" spans="1:14" x14ac:dyDescent="0.25">
      <c r="A1749" s="63" t="s">
        <v>404</v>
      </c>
      <c r="B1749" s="74" t="s">
        <v>426</v>
      </c>
      <c r="C1749" s="2">
        <v>4099854358999</v>
      </c>
      <c r="D1749" s="95">
        <v>4058075451179</v>
      </c>
      <c r="E1749" s="102" t="s">
        <v>1407</v>
      </c>
      <c r="F1749" s="17"/>
      <c r="G1749" s="156" t="str">
        <f>HYPERLINK("https://ledvance.com/pt/product-datasheet/332832/319480","Ficha Técnica")</f>
        <v>Ficha Técnica</v>
      </c>
      <c r="H1749" s="15">
        <v>50</v>
      </c>
      <c r="I1749" s="163"/>
      <c r="J1749" s="15"/>
      <c r="K1749" s="163" t="s">
        <v>288</v>
      </c>
      <c r="L1749" s="15">
        <v>5</v>
      </c>
      <c r="M1749" s="188">
        <v>16.7</v>
      </c>
      <c r="N1749" s="169" t="s">
        <v>11</v>
      </c>
    </row>
    <row r="1750" spans="1:14" x14ac:dyDescent="0.25">
      <c r="A1750" s="63" t="s">
        <v>404</v>
      </c>
      <c r="B1750" s="74" t="s">
        <v>427</v>
      </c>
      <c r="C1750" s="2">
        <v>4099854359156</v>
      </c>
      <c r="D1750" s="95">
        <v>4058075451209</v>
      </c>
      <c r="E1750" s="102" t="s">
        <v>1407</v>
      </c>
      <c r="F1750" s="17"/>
      <c r="G1750" s="156" t="str">
        <f>HYPERLINK("https://ledvance.com/pt/product-datasheet/332832/319494","Ficha Técnica")</f>
        <v>Ficha Técnica</v>
      </c>
      <c r="H1750" s="15">
        <v>50</v>
      </c>
      <c r="I1750" s="163"/>
      <c r="J1750" s="15"/>
      <c r="K1750" s="163" t="s">
        <v>288</v>
      </c>
      <c r="L1750" s="15">
        <v>5</v>
      </c>
      <c r="M1750" s="188">
        <v>11.1</v>
      </c>
      <c r="N1750" s="169" t="s">
        <v>11</v>
      </c>
    </row>
    <row r="1751" spans="1:14" x14ac:dyDescent="0.25">
      <c r="A1751" s="63" t="s">
        <v>404</v>
      </c>
      <c r="B1751" s="74" t="s">
        <v>428</v>
      </c>
      <c r="C1751" s="2">
        <v>4099854359088</v>
      </c>
      <c r="D1751" s="95">
        <v>4058075451230</v>
      </c>
      <c r="E1751" s="102" t="s">
        <v>1407</v>
      </c>
      <c r="F1751" s="17"/>
      <c r="G1751" s="156" t="str">
        <f>HYPERLINK("https://ledvance.com/pt/product-datasheet/332832/319487","Ficha Técnica")</f>
        <v>Ficha Técnica</v>
      </c>
      <c r="H1751" s="15">
        <v>50</v>
      </c>
      <c r="I1751" s="163"/>
      <c r="J1751" s="15"/>
      <c r="K1751" s="163" t="s">
        <v>288</v>
      </c>
      <c r="L1751" s="15">
        <v>5</v>
      </c>
      <c r="M1751" s="188">
        <v>18.8</v>
      </c>
      <c r="N1751" s="169" t="s">
        <v>11</v>
      </c>
    </row>
    <row r="1752" spans="1:14" x14ac:dyDescent="0.25">
      <c r="A1752" s="63" t="s">
        <v>404</v>
      </c>
      <c r="B1752" s="74" t="s">
        <v>429</v>
      </c>
      <c r="C1752" s="2">
        <v>4058075407800</v>
      </c>
      <c r="D1752" s="84"/>
      <c r="E1752" s="101"/>
      <c r="F1752" s="17"/>
      <c r="G1752" s="156" t="str">
        <f>HYPERLINK("https://ledvance.com/pt/product-datasheet/8417/105775","Ficha Técnica")</f>
        <v>Ficha Técnica</v>
      </c>
      <c r="H1752" s="15">
        <v>100</v>
      </c>
      <c r="I1752" s="163"/>
      <c r="J1752" s="15"/>
      <c r="K1752" s="163" t="s">
        <v>320</v>
      </c>
      <c r="L1752" s="15"/>
      <c r="M1752" s="188">
        <v>7.1</v>
      </c>
      <c r="N1752" s="169" t="s">
        <v>11</v>
      </c>
    </row>
    <row r="1753" spans="1:14" x14ac:dyDescent="0.25">
      <c r="A1753" s="63" t="s">
        <v>404</v>
      </c>
      <c r="B1753" s="74" t="s">
        <v>430</v>
      </c>
      <c r="C1753" s="2">
        <v>4058075407831</v>
      </c>
      <c r="D1753" s="84"/>
      <c r="E1753" s="101"/>
      <c r="F1753" s="17"/>
      <c r="G1753" s="156" t="str">
        <f>HYPERLINK("https://ledvance.com/pt/product-datasheet/8417/105779","Ficha Técnica")</f>
        <v>Ficha Técnica</v>
      </c>
      <c r="H1753" s="15">
        <v>100</v>
      </c>
      <c r="I1753" s="163"/>
      <c r="J1753" s="15"/>
      <c r="K1753" s="163" t="s">
        <v>320</v>
      </c>
      <c r="L1753" s="15"/>
      <c r="M1753" s="188">
        <v>2.2999999999999998</v>
      </c>
      <c r="N1753" s="169" t="s">
        <v>11</v>
      </c>
    </row>
    <row r="1754" spans="1:14" x14ac:dyDescent="0.25">
      <c r="A1754" s="63" t="s">
        <v>404</v>
      </c>
      <c r="B1754" s="74" t="s">
        <v>431</v>
      </c>
      <c r="C1754" s="2">
        <v>4058075407862</v>
      </c>
      <c r="D1754" s="84"/>
      <c r="E1754" s="101"/>
      <c r="F1754" s="17"/>
      <c r="G1754" s="156" t="str">
        <f>HYPERLINK("https://ledvance.com/pt/product-datasheet/8417/105783","Ficha Técnica")</f>
        <v>Ficha Técnica</v>
      </c>
      <c r="H1754" s="15">
        <v>100</v>
      </c>
      <c r="I1754" s="163"/>
      <c r="J1754" s="15"/>
      <c r="K1754" s="163" t="s">
        <v>320</v>
      </c>
      <c r="L1754" s="15"/>
      <c r="M1754" s="188">
        <v>7.1</v>
      </c>
      <c r="N1754" s="169" t="s">
        <v>11</v>
      </c>
    </row>
    <row r="1755" spans="1:14" x14ac:dyDescent="0.25">
      <c r="A1755" s="63" t="s">
        <v>404</v>
      </c>
      <c r="B1755" s="74" t="s">
        <v>432</v>
      </c>
      <c r="C1755" s="2">
        <v>4058075407893</v>
      </c>
      <c r="D1755" s="84"/>
      <c r="E1755" s="101"/>
      <c r="F1755" s="17"/>
      <c r="G1755" s="156" t="str">
        <f>HYPERLINK("https://ledvance.com/pt/product-datasheet/8417/105787","Ficha Técnica")</f>
        <v>Ficha Técnica</v>
      </c>
      <c r="H1755" s="15">
        <v>100</v>
      </c>
      <c r="I1755" s="163"/>
      <c r="J1755" s="15"/>
      <c r="K1755" s="163" t="s">
        <v>138</v>
      </c>
      <c r="L1755" s="15"/>
      <c r="M1755" s="188">
        <v>7.1</v>
      </c>
      <c r="N1755" s="169" t="s">
        <v>11</v>
      </c>
    </row>
    <row r="1756" spans="1:14" x14ac:dyDescent="0.25">
      <c r="A1756" s="63" t="s">
        <v>404</v>
      </c>
      <c r="B1756" s="74" t="s">
        <v>433</v>
      </c>
      <c r="C1756" s="2">
        <v>4058075407923</v>
      </c>
      <c r="D1756" s="84"/>
      <c r="E1756" s="101"/>
      <c r="F1756" s="17"/>
      <c r="G1756" s="156" t="str">
        <f>HYPERLINK("https://ledvance.com/pt/product-datasheet/8417/105791","Ficha Técnica")</f>
        <v>Ficha Técnica</v>
      </c>
      <c r="H1756" s="15">
        <v>100</v>
      </c>
      <c r="I1756" s="163"/>
      <c r="J1756" s="15"/>
      <c r="K1756" s="163" t="s">
        <v>138</v>
      </c>
      <c r="L1756" s="15"/>
      <c r="M1756" s="188">
        <v>3.4</v>
      </c>
      <c r="N1756" s="169" t="s">
        <v>11</v>
      </c>
    </row>
    <row r="1757" spans="1:14" x14ac:dyDescent="0.25">
      <c r="A1757" s="63" t="s">
        <v>404</v>
      </c>
      <c r="B1757" s="74" t="s">
        <v>434</v>
      </c>
      <c r="C1757" s="2">
        <v>4058075407954</v>
      </c>
      <c r="D1757" s="84"/>
      <c r="E1757" s="101"/>
      <c r="F1757" s="17"/>
      <c r="G1757" s="156" t="str">
        <f>HYPERLINK("https://ledvance.com/pt/product-datasheet/8417/105795","Ficha Técnica")</f>
        <v>Ficha Técnica</v>
      </c>
      <c r="H1757" s="15">
        <v>100</v>
      </c>
      <c r="I1757" s="163"/>
      <c r="J1757" s="15"/>
      <c r="K1757" s="163" t="s">
        <v>138</v>
      </c>
      <c r="L1757" s="15"/>
      <c r="M1757" s="188">
        <v>7.1</v>
      </c>
      <c r="N1757" s="169" t="s">
        <v>11</v>
      </c>
    </row>
    <row r="1758" spans="1:14" x14ac:dyDescent="0.25">
      <c r="A1758" s="63" t="s">
        <v>404</v>
      </c>
      <c r="B1758" s="74" t="s">
        <v>3442</v>
      </c>
      <c r="C1758" s="2">
        <v>4058075451568</v>
      </c>
      <c r="D1758" s="84"/>
      <c r="E1758" s="101"/>
      <c r="F1758" s="15"/>
      <c r="G1758" s="156" t="str">
        <f>HYPERLINK("https://ledvance.com/pt/product-datasheet/8418/106158","Ficha Técnica")</f>
        <v>Ficha Técnica</v>
      </c>
      <c r="H1758" s="15">
        <v>200</v>
      </c>
      <c r="I1758" s="163"/>
      <c r="J1758" s="15"/>
      <c r="K1758" s="163"/>
      <c r="L1758" s="15"/>
      <c r="M1758" s="188">
        <v>3.1</v>
      </c>
      <c r="N1758" s="169" t="s">
        <v>11</v>
      </c>
    </row>
    <row r="1759" spans="1:14" x14ac:dyDescent="0.25">
      <c r="A1759" s="63" t="s">
        <v>404</v>
      </c>
      <c r="B1759" s="74" t="s">
        <v>3443</v>
      </c>
      <c r="C1759" s="2">
        <v>4058075451261</v>
      </c>
      <c r="D1759" s="84"/>
      <c r="E1759" s="101"/>
      <c r="F1759" s="17"/>
      <c r="G1759" s="156" t="str">
        <f>HYPERLINK("https://ledvance.com/pt/product-datasheet/8419/106126","Ficha Técnica")</f>
        <v>Ficha Técnica</v>
      </c>
      <c r="H1759" s="15">
        <v>200</v>
      </c>
      <c r="I1759" s="163"/>
      <c r="J1759" s="15"/>
      <c r="K1759" s="163" t="s">
        <v>249</v>
      </c>
      <c r="L1759" s="15"/>
      <c r="M1759" s="188">
        <v>12.8</v>
      </c>
      <c r="N1759" s="169" t="s">
        <v>11</v>
      </c>
    </row>
    <row r="1760" spans="1:14" x14ac:dyDescent="0.25">
      <c r="A1760" s="63" t="s">
        <v>404</v>
      </c>
      <c r="B1760" s="74" t="s">
        <v>435</v>
      </c>
      <c r="C1760" s="2">
        <v>4058075407985</v>
      </c>
      <c r="D1760" s="84"/>
      <c r="E1760" s="101"/>
      <c r="F1760" s="17"/>
      <c r="G1760" s="156" t="str">
        <f>HYPERLINK("https://ledvance.com/pt/product-datasheet/8417/105799","Ficha Técnica")</f>
        <v>Ficha Técnica</v>
      </c>
      <c r="H1760" s="15">
        <v>200</v>
      </c>
      <c r="I1760" s="163"/>
      <c r="J1760" s="15"/>
      <c r="K1760" s="163" t="s">
        <v>138</v>
      </c>
      <c r="L1760" s="15"/>
      <c r="M1760" s="188">
        <v>3.1</v>
      </c>
      <c r="N1760" s="169" t="s">
        <v>11</v>
      </c>
    </row>
    <row r="1761" spans="1:14" x14ac:dyDescent="0.25">
      <c r="A1761" s="63" t="s">
        <v>404</v>
      </c>
      <c r="B1761" s="74" t="s">
        <v>436</v>
      </c>
      <c r="C1761" s="2">
        <v>4058075727649</v>
      </c>
      <c r="D1761" s="84"/>
      <c r="E1761" s="104"/>
      <c r="F1761" s="15"/>
      <c r="G1761" s="156" t="str">
        <f>HYPERLINK("https://ledvance.com/pt/product-datasheet/200718/193684","Ficha Técnica")</f>
        <v>Ficha Técnica</v>
      </c>
      <c r="H1761" s="15">
        <v>200</v>
      </c>
      <c r="I1761" s="163"/>
      <c r="J1761" s="15"/>
      <c r="K1761" s="163" t="s">
        <v>288</v>
      </c>
      <c r="L1761" s="15"/>
      <c r="M1761" s="188">
        <v>10.8</v>
      </c>
      <c r="N1761" s="169" t="s">
        <v>11</v>
      </c>
    </row>
    <row r="1762" spans="1:14" x14ac:dyDescent="0.25">
      <c r="A1762" s="63" t="s">
        <v>404</v>
      </c>
      <c r="B1762" s="74" t="s">
        <v>1988</v>
      </c>
      <c r="C1762" s="2">
        <v>4099854358937</v>
      </c>
      <c r="D1762" s="95">
        <v>4058075451292</v>
      </c>
      <c r="E1762" s="102" t="s">
        <v>1407</v>
      </c>
      <c r="F1762" s="17"/>
      <c r="G1762" s="156" t="str">
        <f>HYPERLINK("https://ledvance.com/pt/product-datasheet/332831/319472","Ficha Técnica")</f>
        <v>Ficha Técnica</v>
      </c>
      <c r="H1762" s="15">
        <v>50</v>
      </c>
      <c r="I1762" s="163"/>
      <c r="J1762" s="15"/>
      <c r="K1762" s="163" t="s">
        <v>46</v>
      </c>
      <c r="L1762" s="15">
        <v>5</v>
      </c>
      <c r="M1762" s="188">
        <v>1</v>
      </c>
      <c r="N1762" s="169" t="s">
        <v>11</v>
      </c>
    </row>
    <row r="1763" spans="1:14" x14ac:dyDescent="0.25">
      <c r="A1763" s="63" t="s">
        <v>404</v>
      </c>
      <c r="B1763" s="74" t="s">
        <v>437</v>
      </c>
      <c r="C1763" s="2">
        <v>4058075411708</v>
      </c>
      <c r="D1763" s="84"/>
      <c r="E1763" s="101"/>
      <c r="F1763" s="17"/>
      <c r="G1763" s="156" t="str">
        <f>HYPERLINK("https://ledvance.com/pt/product-datasheet/8417/105803","Ficha Técnica")</f>
        <v>Ficha Técnica</v>
      </c>
      <c r="H1763" s="15">
        <v>100</v>
      </c>
      <c r="I1763" s="163"/>
      <c r="J1763" s="15"/>
      <c r="K1763" s="163" t="s">
        <v>138</v>
      </c>
      <c r="L1763" s="15"/>
      <c r="M1763" s="188">
        <v>0.6</v>
      </c>
      <c r="N1763" s="169" t="s">
        <v>11</v>
      </c>
    </row>
    <row r="1764" spans="1:14" x14ac:dyDescent="0.25">
      <c r="A1764" s="63" t="s">
        <v>404</v>
      </c>
      <c r="B1764" s="74" t="s">
        <v>438</v>
      </c>
      <c r="C1764" s="2">
        <v>4058075451599</v>
      </c>
      <c r="D1764" s="84"/>
      <c r="E1764" s="101"/>
      <c r="F1764" s="17"/>
      <c r="G1764" s="156" t="str">
        <f>HYPERLINK("https://ledvance.com/pt/product-datasheet/8418/106162","Ficha Técnica")</f>
        <v>Ficha Técnica</v>
      </c>
      <c r="H1764" s="15">
        <v>100</v>
      </c>
      <c r="I1764" s="163"/>
      <c r="J1764" s="15"/>
      <c r="K1764" s="163" t="s">
        <v>288</v>
      </c>
      <c r="L1764" s="15"/>
      <c r="M1764" s="188">
        <v>1</v>
      </c>
      <c r="N1764" s="169" t="s">
        <v>11</v>
      </c>
    </row>
    <row r="1765" spans="1:14" x14ac:dyDescent="0.25">
      <c r="A1765" s="63" t="s">
        <v>404</v>
      </c>
      <c r="B1765" s="74" t="s">
        <v>439</v>
      </c>
      <c r="C1765" s="2">
        <v>4058075727618</v>
      </c>
      <c r="D1765" s="103"/>
      <c r="E1765" s="104"/>
      <c r="F1765" s="17"/>
      <c r="G1765" s="156" t="str">
        <f>HYPERLINK("https://ledvance.com/pt/product-datasheet/200718/193680","Ficha Técnica")</f>
        <v>Ficha Técnica</v>
      </c>
      <c r="H1765" s="15">
        <v>100</v>
      </c>
      <c r="I1765" s="163"/>
      <c r="J1765" s="15"/>
      <c r="K1765" s="163" t="s">
        <v>288</v>
      </c>
      <c r="L1765" s="15"/>
      <c r="M1765" s="188">
        <v>0.8</v>
      </c>
      <c r="N1765" s="169" t="s">
        <v>11</v>
      </c>
    </row>
    <row r="1766" spans="1:14" x14ac:dyDescent="0.25">
      <c r="A1766" s="63" t="s">
        <v>404</v>
      </c>
      <c r="B1766" s="74" t="s">
        <v>440</v>
      </c>
      <c r="C1766" s="2">
        <v>4058075727588</v>
      </c>
      <c r="D1766" s="103"/>
      <c r="E1766" s="104"/>
      <c r="F1766" s="17"/>
      <c r="G1766" s="156" t="str">
        <f>HYPERLINK("https://ledvance.com/pt/product-datasheet/200718/193664","Ficha Técnica")</f>
        <v>Ficha Técnica</v>
      </c>
      <c r="H1766" s="15">
        <v>100</v>
      </c>
      <c r="I1766" s="163"/>
      <c r="J1766" s="15"/>
      <c r="K1766" s="163" t="s">
        <v>320</v>
      </c>
      <c r="L1766" s="15"/>
      <c r="M1766" s="188">
        <v>0.8</v>
      </c>
      <c r="N1766" s="169" t="s">
        <v>11</v>
      </c>
    </row>
    <row r="1767" spans="1:14" x14ac:dyDescent="0.25">
      <c r="A1767" s="66" t="s">
        <v>404</v>
      </c>
      <c r="B1767" s="79" t="s">
        <v>2184</v>
      </c>
      <c r="C1767" s="51"/>
      <c r="D1767" s="65"/>
      <c r="E1767" s="86"/>
      <c r="F1767" s="12"/>
      <c r="G1767" s="157"/>
      <c r="H1767" s="12"/>
      <c r="I1767" s="62"/>
      <c r="J1767" s="27"/>
      <c r="K1767" s="62"/>
      <c r="L1767" s="12"/>
      <c r="M1767" s="191"/>
      <c r="N1767" s="65"/>
    </row>
    <row r="1768" spans="1:14" x14ac:dyDescent="0.25">
      <c r="A1768" s="63" t="s">
        <v>404</v>
      </c>
      <c r="B1768" s="74" t="s">
        <v>441</v>
      </c>
      <c r="C1768" s="2">
        <v>4058075278103</v>
      </c>
      <c r="D1768" s="84"/>
      <c r="E1768" s="101"/>
      <c r="F1768" s="17"/>
      <c r="G1768" s="156" t="str">
        <f>HYPERLINK("https://ledvance.com/pt/product-datasheet/8393/115389","Ficha Técnica")</f>
        <v>Ficha Técnica</v>
      </c>
      <c r="H1768" s="15">
        <v>50</v>
      </c>
      <c r="I1768" s="163"/>
      <c r="J1768" s="15"/>
      <c r="K1768" s="163"/>
      <c r="L1768" s="15"/>
      <c r="M1768" s="188">
        <v>5.4</v>
      </c>
      <c r="N1768" s="169" t="s">
        <v>11</v>
      </c>
    </row>
    <row r="1769" spans="1:14" x14ac:dyDescent="0.25">
      <c r="A1769" s="63" t="s">
        <v>404</v>
      </c>
      <c r="B1769" s="74" t="s">
        <v>442</v>
      </c>
      <c r="C1769" s="2">
        <v>4058075401440</v>
      </c>
      <c r="D1769" s="84"/>
      <c r="E1769" s="101"/>
      <c r="F1769" s="17"/>
      <c r="G1769" s="156" t="str">
        <f>HYPERLINK("https://ledvance.com/pt/product-datasheet/8393/105551","Ficha Técnica")</f>
        <v>Ficha Técnica</v>
      </c>
      <c r="H1769" s="15">
        <v>25</v>
      </c>
      <c r="I1769" s="163"/>
      <c r="J1769" s="15"/>
      <c r="K1769" s="163"/>
      <c r="L1769" s="15"/>
      <c r="M1769" s="188">
        <v>16.8</v>
      </c>
      <c r="N1769" s="169" t="s">
        <v>11</v>
      </c>
    </row>
    <row r="1770" spans="1:14" x14ac:dyDescent="0.25">
      <c r="A1770" s="63" t="s">
        <v>404</v>
      </c>
      <c r="B1770" s="74" t="s">
        <v>443</v>
      </c>
      <c r="C1770" s="2">
        <v>4058075279391</v>
      </c>
      <c r="D1770" s="84"/>
      <c r="E1770" s="101"/>
      <c r="F1770" s="17"/>
      <c r="G1770" s="156" t="str">
        <f>HYPERLINK("https://ledvance.com/pt/product-datasheet/8396/115393","Ficha Técnica")</f>
        <v>Ficha Técnica</v>
      </c>
      <c r="H1770" s="15">
        <v>50</v>
      </c>
      <c r="I1770" s="163"/>
      <c r="J1770" s="15"/>
      <c r="K1770" s="163"/>
      <c r="L1770" s="15"/>
      <c r="M1770" s="188">
        <v>3.6</v>
      </c>
      <c r="N1770" s="169" t="s">
        <v>11</v>
      </c>
    </row>
    <row r="1771" spans="1:14" x14ac:dyDescent="0.25">
      <c r="A1771" s="63" t="s">
        <v>404</v>
      </c>
      <c r="B1771" s="74" t="s">
        <v>444</v>
      </c>
      <c r="C1771" s="2">
        <v>4058075401952</v>
      </c>
      <c r="D1771" s="84"/>
      <c r="E1771" s="101"/>
      <c r="F1771" s="17"/>
      <c r="G1771" s="156" t="str">
        <f>HYPERLINK("https://ledvance.com/pt/product-datasheet/8396/105023","Ficha Técnica")</f>
        <v>Ficha Técnica</v>
      </c>
      <c r="H1771" s="15">
        <v>25</v>
      </c>
      <c r="I1771" s="163"/>
      <c r="J1771" s="15"/>
      <c r="K1771" s="163"/>
      <c r="L1771" s="15"/>
      <c r="M1771" s="188">
        <v>9.1999999999999993</v>
      </c>
      <c r="N1771" s="169" t="s">
        <v>11</v>
      </c>
    </row>
    <row r="1772" spans="1:14" x14ac:dyDescent="0.25">
      <c r="A1772" s="63" t="s">
        <v>404</v>
      </c>
      <c r="B1772" s="74" t="s">
        <v>445</v>
      </c>
      <c r="C1772" s="2">
        <v>4058075402317</v>
      </c>
      <c r="D1772" s="84"/>
      <c r="E1772" s="101"/>
      <c r="F1772" s="17"/>
      <c r="G1772" s="156" t="str">
        <f>HYPERLINK("https://ledvance.com/pt/product-datasheet/8396/105071","Ficha Técnica")</f>
        <v>Ficha Técnica</v>
      </c>
      <c r="H1772" s="15">
        <v>50</v>
      </c>
      <c r="I1772" s="163"/>
      <c r="J1772" s="15"/>
      <c r="K1772" s="163"/>
      <c r="L1772" s="15"/>
      <c r="M1772" s="188">
        <v>5.0999999999999996</v>
      </c>
      <c r="N1772" s="169" t="s">
        <v>11</v>
      </c>
    </row>
    <row r="1773" spans="1:14" x14ac:dyDescent="0.25">
      <c r="A1773" s="63" t="s">
        <v>404</v>
      </c>
      <c r="B1773" s="74" t="s">
        <v>446</v>
      </c>
      <c r="C1773" s="2">
        <v>4058075402133</v>
      </c>
      <c r="D1773" s="84"/>
      <c r="E1773" s="101"/>
      <c r="F1773" s="17"/>
      <c r="G1773" s="156" t="str">
        <f>HYPERLINK("https://ledvance.com/pt/product-datasheet/8396/105047","Ficha Técnica")</f>
        <v>Ficha Técnica</v>
      </c>
      <c r="H1773" s="15">
        <v>25</v>
      </c>
      <c r="I1773" s="163"/>
      <c r="J1773" s="15"/>
      <c r="K1773" s="163"/>
      <c r="L1773" s="15"/>
      <c r="M1773" s="188">
        <v>11.3</v>
      </c>
      <c r="N1773" s="169" t="s">
        <v>11</v>
      </c>
    </row>
    <row r="1774" spans="1:14" x14ac:dyDescent="0.25">
      <c r="A1774" s="63" t="s">
        <v>404</v>
      </c>
      <c r="B1774" s="74" t="s">
        <v>447</v>
      </c>
      <c r="C1774" s="2">
        <v>4058075277335</v>
      </c>
      <c r="D1774" s="84"/>
      <c r="E1774" s="101"/>
      <c r="F1774" s="17"/>
      <c r="G1774" s="156" t="str">
        <f>HYPERLINK("https://ledvance.com/pt/product-datasheet/8393/115397","Ficha Técnica")</f>
        <v>Ficha Técnica</v>
      </c>
      <c r="H1774" s="15">
        <v>100</v>
      </c>
      <c r="I1774" s="163"/>
      <c r="J1774" s="15"/>
      <c r="K1774" s="163"/>
      <c r="L1774" s="15"/>
      <c r="M1774" s="188">
        <v>1.5</v>
      </c>
      <c r="N1774" s="169" t="s">
        <v>11</v>
      </c>
    </row>
    <row r="1775" spans="1:14" x14ac:dyDescent="0.25">
      <c r="A1775" s="63" t="s">
        <v>404</v>
      </c>
      <c r="B1775" s="74" t="s">
        <v>448</v>
      </c>
      <c r="C1775" s="2">
        <v>4058075277366</v>
      </c>
      <c r="D1775" s="84"/>
      <c r="E1775" s="101"/>
      <c r="F1775" s="17"/>
      <c r="G1775" s="156" t="str">
        <f>HYPERLINK("https://ledvance.com/pt/product-datasheet/8393/115401","Ficha Técnica")</f>
        <v>Ficha Técnica</v>
      </c>
      <c r="H1775" s="15">
        <v>100</v>
      </c>
      <c r="I1775" s="163"/>
      <c r="J1775" s="15"/>
      <c r="K1775" s="163"/>
      <c r="L1775" s="15"/>
      <c r="M1775" s="188">
        <v>1.5</v>
      </c>
      <c r="N1775" s="169" t="s">
        <v>11</v>
      </c>
    </row>
    <row r="1776" spans="1:14" x14ac:dyDescent="0.25">
      <c r="A1776" s="63" t="s">
        <v>404</v>
      </c>
      <c r="B1776" s="74" t="s">
        <v>449</v>
      </c>
      <c r="C1776" s="2">
        <v>4058075276611</v>
      </c>
      <c r="D1776" s="84"/>
      <c r="E1776" s="101"/>
      <c r="F1776" s="17"/>
      <c r="G1776" s="156" t="str">
        <f>HYPERLINK("https://ledvance.com/pt/product-datasheet/8393/116843","Ficha Técnica")</f>
        <v>Ficha Técnica</v>
      </c>
      <c r="H1776" s="15">
        <v>100</v>
      </c>
      <c r="I1776" s="163"/>
      <c r="J1776" s="15"/>
      <c r="K1776" s="163"/>
      <c r="L1776" s="15"/>
      <c r="M1776" s="188">
        <v>1.5</v>
      </c>
      <c r="N1776" s="169" t="s">
        <v>11</v>
      </c>
    </row>
    <row r="1777" spans="1:14" x14ac:dyDescent="0.25">
      <c r="A1777" s="63" t="s">
        <v>404</v>
      </c>
      <c r="B1777" s="74" t="s">
        <v>450</v>
      </c>
      <c r="C1777" s="2">
        <v>4058075278134</v>
      </c>
      <c r="D1777" s="84"/>
      <c r="E1777" s="101"/>
      <c r="F1777" s="17"/>
      <c r="G1777" s="156" t="str">
        <f>HYPERLINK("https://ledvance.com/pt/product-datasheet/8393/115405","Ficha Técnica")</f>
        <v>Ficha Técnica</v>
      </c>
      <c r="H1777" s="15">
        <v>50</v>
      </c>
      <c r="I1777" s="163"/>
      <c r="J1777" s="15"/>
      <c r="K1777" s="163"/>
      <c r="L1777" s="15"/>
      <c r="M1777" s="188">
        <v>10.6</v>
      </c>
      <c r="N1777" s="169" t="s">
        <v>11</v>
      </c>
    </row>
    <row r="1778" spans="1:14" x14ac:dyDescent="0.25">
      <c r="A1778" s="63" t="s">
        <v>404</v>
      </c>
      <c r="B1778" s="74" t="s">
        <v>451</v>
      </c>
      <c r="C1778" s="2">
        <v>4058075401471</v>
      </c>
      <c r="D1778" s="84"/>
      <c r="E1778" s="101"/>
      <c r="F1778" s="17"/>
      <c r="G1778" s="156" t="str">
        <f>HYPERLINK("https://ledvance.com/pt/product-datasheet/8393/105555","Ficha Técnica")</f>
        <v>Ficha Técnica</v>
      </c>
      <c r="H1778" s="15">
        <v>25</v>
      </c>
      <c r="I1778" s="163"/>
      <c r="J1778" s="15"/>
      <c r="K1778" s="163"/>
      <c r="L1778" s="15"/>
      <c r="M1778" s="188">
        <v>22.4</v>
      </c>
      <c r="N1778" s="169" t="s">
        <v>11</v>
      </c>
    </row>
    <row r="1779" spans="1:14" x14ac:dyDescent="0.25">
      <c r="A1779" s="63" t="s">
        <v>404</v>
      </c>
      <c r="B1779" s="74" t="s">
        <v>452</v>
      </c>
      <c r="C1779" s="2">
        <v>4058075279421</v>
      </c>
      <c r="D1779" s="84"/>
      <c r="E1779" s="101"/>
      <c r="F1779" s="17"/>
      <c r="G1779" s="156" t="str">
        <f>HYPERLINK("https://ledvance.com/pt/product-datasheet/8396/115409","Ficha Técnica")</f>
        <v>Ficha Técnica</v>
      </c>
      <c r="H1779" s="15">
        <v>50</v>
      </c>
      <c r="I1779" s="163"/>
      <c r="J1779" s="15"/>
      <c r="K1779" s="163"/>
      <c r="L1779" s="15"/>
      <c r="M1779" s="188">
        <v>3.6</v>
      </c>
      <c r="N1779" s="169" t="s">
        <v>11</v>
      </c>
    </row>
    <row r="1780" spans="1:14" x14ac:dyDescent="0.25">
      <c r="A1780" s="63" t="s">
        <v>404</v>
      </c>
      <c r="B1780" s="74" t="s">
        <v>453</v>
      </c>
      <c r="C1780" s="2">
        <v>4058075401983</v>
      </c>
      <c r="D1780" s="84"/>
      <c r="E1780" s="101"/>
      <c r="F1780" s="17"/>
      <c r="G1780" s="156" t="str">
        <f>HYPERLINK("https://ledvance.com/pt/product-datasheet/8396/105027","Ficha Técnica")</f>
        <v>Ficha Técnica</v>
      </c>
      <c r="H1780" s="15">
        <v>25</v>
      </c>
      <c r="I1780" s="163"/>
      <c r="J1780" s="15"/>
      <c r="K1780" s="163"/>
      <c r="L1780" s="15"/>
      <c r="M1780" s="188">
        <v>6.7</v>
      </c>
      <c r="N1780" s="169" t="s">
        <v>11</v>
      </c>
    </row>
    <row r="1781" spans="1:14" x14ac:dyDescent="0.25">
      <c r="A1781" s="63" t="s">
        <v>404</v>
      </c>
      <c r="B1781" s="74" t="s">
        <v>454</v>
      </c>
      <c r="C1781" s="2">
        <v>4058075402348</v>
      </c>
      <c r="D1781" s="84"/>
      <c r="E1781" s="101"/>
      <c r="F1781" s="17"/>
      <c r="G1781" s="156" t="str">
        <f>HYPERLINK("https://ledvance.com/pt/product-datasheet/8396/105075","Ficha Técnica")</f>
        <v>Ficha Técnica</v>
      </c>
      <c r="H1781" s="15">
        <v>50</v>
      </c>
      <c r="I1781" s="163"/>
      <c r="J1781" s="15"/>
      <c r="K1781" s="163"/>
      <c r="L1781" s="15"/>
      <c r="M1781" s="188">
        <v>5.0999999999999996</v>
      </c>
      <c r="N1781" s="169" t="s">
        <v>11</v>
      </c>
    </row>
    <row r="1782" spans="1:14" x14ac:dyDescent="0.25">
      <c r="A1782" s="63" t="s">
        <v>404</v>
      </c>
      <c r="B1782" s="74" t="s">
        <v>455</v>
      </c>
      <c r="C1782" s="2">
        <v>4058075402164</v>
      </c>
      <c r="D1782" s="84"/>
      <c r="E1782" s="101"/>
      <c r="F1782" s="17"/>
      <c r="G1782" s="156" t="str">
        <f>HYPERLINK("https://ledvance.com/pt/product-datasheet/8396/105051","Ficha Técnica")</f>
        <v>Ficha Técnica</v>
      </c>
      <c r="H1782" s="15">
        <v>25</v>
      </c>
      <c r="I1782" s="163"/>
      <c r="J1782" s="15"/>
      <c r="K1782" s="163"/>
      <c r="L1782" s="15"/>
      <c r="M1782" s="188">
        <v>11.2</v>
      </c>
      <c r="N1782" s="169" t="s">
        <v>11</v>
      </c>
    </row>
    <row r="1783" spans="1:14" x14ac:dyDescent="0.25">
      <c r="A1783" s="63" t="s">
        <v>404</v>
      </c>
      <c r="B1783" s="74" t="s">
        <v>456</v>
      </c>
      <c r="C1783" s="2">
        <v>4058075277397</v>
      </c>
      <c r="D1783" s="84"/>
      <c r="E1783" s="101"/>
      <c r="F1783" s="17"/>
      <c r="G1783" s="156" t="str">
        <f>HYPERLINK("https://ledvance.com/pt/product-datasheet/8393/115413","Ficha Técnica")</f>
        <v>Ficha Técnica</v>
      </c>
      <c r="H1783" s="15">
        <v>100</v>
      </c>
      <c r="I1783" s="163"/>
      <c r="J1783" s="15"/>
      <c r="K1783" s="163"/>
      <c r="L1783" s="15"/>
      <c r="M1783" s="188">
        <v>1.5</v>
      </c>
      <c r="N1783" s="169" t="s">
        <v>11</v>
      </c>
    </row>
    <row r="1784" spans="1:14" x14ac:dyDescent="0.25">
      <c r="A1784" s="63" t="s">
        <v>404</v>
      </c>
      <c r="B1784" s="74" t="s">
        <v>457</v>
      </c>
      <c r="C1784" s="2">
        <v>4058075277427</v>
      </c>
      <c r="D1784" s="84"/>
      <c r="E1784" s="101"/>
      <c r="F1784" s="17"/>
      <c r="G1784" s="156" t="str">
        <f>HYPERLINK("https://ledvance.com/pt/product-datasheet/8393/115417","Ficha Técnica")</f>
        <v>Ficha Técnica</v>
      </c>
      <c r="H1784" s="15">
        <v>100</v>
      </c>
      <c r="I1784" s="163"/>
      <c r="J1784" s="15"/>
      <c r="K1784" s="163"/>
      <c r="L1784" s="15"/>
      <c r="M1784" s="188">
        <v>1.5</v>
      </c>
      <c r="N1784" s="169" t="s">
        <v>11</v>
      </c>
    </row>
    <row r="1785" spans="1:14" x14ac:dyDescent="0.25">
      <c r="A1785" s="63" t="s">
        <v>404</v>
      </c>
      <c r="B1785" s="74" t="s">
        <v>458</v>
      </c>
      <c r="C1785" s="2">
        <v>4058075276659</v>
      </c>
      <c r="D1785" s="84"/>
      <c r="E1785" s="101"/>
      <c r="F1785" s="17"/>
      <c r="G1785" s="156" t="str">
        <f>HYPERLINK("https://ledvance.com/pt/product-datasheet/8393/116847","Ficha Técnica")</f>
        <v>Ficha Técnica</v>
      </c>
      <c r="H1785" s="15">
        <v>100</v>
      </c>
      <c r="I1785" s="163"/>
      <c r="J1785" s="15"/>
      <c r="K1785" s="163"/>
      <c r="L1785" s="15"/>
      <c r="M1785" s="188">
        <v>1.5</v>
      </c>
      <c r="N1785" s="169" t="s">
        <v>11</v>
      </c>
    </row>
    <row r="1786" spans="1:14" x14ac:dyDescent="0.25">
      <c r="A1786" s="63" t="s">
        <v>404</v>
      </c>
      <c r="B1786" s="74" t="s">
        <v>459</v>
      </c>
      <c r="C1786" s="2">
        <v>4058075278165</v>
      </c>
      <c r="D1786" s="84"/>
      <c r="E1786" s="101"/>
      <c r="F1786" s="17"/>
      <c r="G1786" s="156" t="str">
        <f>HYPERLINK("https://ledvance.com/pt/product-datasheet/8393/115421","Ficha Técnica")</f>
        <v>Ficha Técnica</v>
      </c>
      <c r="H1786" s="15">
        <v>50</v>
      </c>
      <c r="I1786" s="163"/>
      <c r="J1786" s="15"/>
      <c r="K1786" s="163"/>
      <c r="L1786" s="15"/>
      <c r="M1786" s="188">
        <v>10.6</v>
      </c>
      <c r="N1786" s="169" t="s">
        <v>11</v>
      </c>
    </row>
    <row r="1787" spans="1:14" x14ac:dyDescent="0.25">
      <c r="A1787" s="63" t="s">
        <v>404</v>
      </c>
      <c r="B1787" s="74" t="s">
        <v>460</v>
      </c>
      <c r="C1787" s="2">
        <v>4058075401501</v>
      </c>
      <c r="D1787" s="84"/>
      <c r="E1787" s="101"/>
      <c r="F1787" s="17"/>
      <c r="G1787" s="156" t="str">
        <f>HYPERLINK("https://ledvance.com/pt/product-datasheet/8393/105559","Ficha Técnica")</f>
        <v>Ficha Técnica</v>
      </c>
      <c r="H1787" s="15">
        <v>25</v>
      </c>
      <c r="I1787" s="163"/>
      <c r="J1787" s="15"/>
      <c r="K1787" s="163"/>
      <c r="L1787" s="15"/>
      <c r="M1787" s="188">
        <v>17.7</v>
      </c>
      <c r="N1787" s="169" t="s">
        <v>11</v>
      </c>
    </row>
    <row r="1788" spans="1:14" x14ac:dyDescent="0.25">
      <c r="A1788" s="63" t="s">
        <v>404</v>
      </c>
      <c r="B1788" s="74" t="s">
        <v>461</v>
      </c>
      <c r="C1788" s="2">
        <v>4058075277458</v>
      </c>
      <c r="D1788" s="84"/>
      <c r="E1788" s="101"/>
      <c r="F1788" s="17"/>
      <c r="G1788" s="156" t="str">
        <f>HYPERLINK("https://ledvance.com/pt/product-datasheet/8393/115425","Ficha Técnica")</f>
        <v>Ficha Técnica</v>
      </c>
      <c r="H1788" s="15">
        <v>100</v>
      </c>
      <c r="I1788" s="163"/>
      <c r="J1788" s="15"/>
      <c r="K1788" s="163"/>
      <c r="L1788" s="15"/>
      <c r="M1788" s="188">
        <v>1.9</v>
      </c>
      <c r="N1788" s="169" t="s">
        <v>11</v>
      </c>
    </row>
    <row r="1789" spans="1:14" x14ac:dyDescent="0.25">
      <c r="A1789" s="63" t="s">
        <v>404</v>
      </c>
      <c r="B1789" s="74" t="s">
        <v>462</v>
      </c>
      <c r="C1789" s="2">
        <v>4058075277489</v>
      </c>
      <c r="D1789" s="84"/>
      <c r="E1789" s="101"/>
      <c r="F1789" s="17"/>
      <c r="G1789" s="156" t="str">
        <f>HYPERLINK("https://ledvance.com/pt/product-datasheet/8393/115429","Ficha Técnica")</f>
        <v>Ficha Técnica</v>
      </c>
      <c r="H1789" s="15">
        <v>100</v>
      </c>
      <c r="I1789" s="163"/>
      <c r="J1789" s="15"/>
      <c r="K1789" s="163"/>
      <c r="L1789" s="15"/>
      <c r="M1789" s="188">
        <v>1.9</v>
      </c>
      <c r="N1789" s="169" t="s">
        <v>11</v>
      </c>
    </row>
    <row r="1790" spans="1:14" x14ac:dyDescent="0.25">
      <c r="A1790" s="63" t="s">
        <v>404</v>
      </c>
      <c r="B1790" s="74" t="s">
        <v>463</v>
      </c>
      <c r="C1790" s="2">
        <v>4058075276680</v>
      </c>
      <c r="D1790" s="84"/>
      <c r="E1790" s="101"/>
      <c r="F1790" s="17"/>
      <c r="G1790" s="156" t="str">
        <f>HYPERLINK("https://ledvance.com/pt/product-datasheet/8393/116851","Ficha Técnica")</f>
        <v>Ficha Técnica</v>
      </c>
      <c r="H1790" s="15">
        <v>100</v>
      </c>
      <c r="I1790" s="163"/>
      <c r="J1790" s="15"/>
      <c r="K1790" s="163"/>
      <c r="L1790" s="15"/>
      <c r="M1790" s="188">
        <v>1.5</v>
      </c>
      <c r="N1790" s="169" t="s">
        <v>11</v>
      </c>
    </row>
    <row r="1791" spans="1:14" x14ac:dyDescent="0.25">
      <c r="A1791" s="66" t="s">
        <v>404</v>
      </c>
      <c r="B1791" s="79" t="s">
        <v>2185</v>
      </c>
      <c r="C1791" s="51"/>
      <c r="D1791" s="65"/>
      <c r="E1791" s="86"/>
      <c r="F1791" s="12"/>
      <c r="G1791" s="157"/>
      <c r="H1791" s="12"/>
      <c r="I1791" s="62"/>
      <c r="J1791" s="27"/>
      <c r="K1791" s="62"/>
      <c r="L1791" s="12"/>
      <c r="M1791" s="191"/>
      <c r="N1791" s="65"/>
    </row>
    <row r="1792" spans="1:14" x14ac:dyDescent="0.25">
      <c r="A1792" s="63" t="s">
        <v>404</v>
      </c>
      <c r="B1792" s="74" t="s">
        <v>464</v>
      </c>
      <c r="C1792" s="2">
        <v>4058075278196</v>
      </c>
      <c r="D1792" s="84"/>
      <c r="E1792" s="101"/>
      <c r="F1792" s="17"/>
      <c r="G1792" s="156" t="str">
        <f>HYPERLINK("https://ledvance.com/pt/product-datasheet/8394/115433","Ficha Técnica")</f>
        <v>Ficha Técnica</v>
      </c>
      <c r="H1792" s="15">
        <v>50</v>
      </c>
      <c r="I1792" s="163"/>
      <c r="J1792" s="15"/>
      <c r="K1792" s="163"/>
      <c r="L1792" s="15"/>
      <c r="M1792" s="188">
        <v>4.0999999999999996</v>
      </c>
      <c r="N1792" s="169" t="s">
        <v>11</v>
      </c>
    </row>
    <row r="1793" spans="1:14" x14ac:dyDescent="0.25">
      <c r="A1793" s="63" t="s">
        <v>404</v>
      </c>
      <c r="B1793" s="74" t="s">
        <v>465</v>
      </c>
      <c r="C1793" s="2">
        <v>4058075401532</v>
      </c>
      <c r="D1793" s="84"/>
      <c r="E1793" s="101"/>
      <c r="F1793" s="17"/>
      <c r="G1793" s="156" t="str">
        <f>HYPERLINK("https://ledvance.com/pt/product-datasheet/8394/105563","Ficha Técnica")</f>
        <v>Ficha Técnica</v>
      </c>
      <c r="H1793" s="15">
        <v>25</v>
      </c>
      <c r="I1793" s="163"/>
      <c r="J1793" s="15"/>
      <c r="K1793" s="163"/>
      <c r="L1793" s="15"/>
      <c r="M1793" s="188">
        <v>8.9</v>
      </c>
      <c r="N1793" s="169" t="s">
        <v>11</v>
      </c>
    </row>
    <row r="1794" spans="1:14" x14ac:dyDescent="0.25">
      <c r="A1794" s="63" t="s">
        <v>404</v>
      </c>
      <c r="B1794" s="74" t="s">
        <v>466</v>
      </c>
      <c r="C1794" s="2">
        <v>4058075305762</v>
      </c>
      <c r="D1794" s="84"/>
      <c r="E1794" s="101"/>
      <c r="F1794" s="17"/>
      <c r="G1794" s="156" t="str">
        <f>HYPERLINK("https://ledvance.com/pt/product-datasheet/8396/115357","Ficha Técnica")</f>
        <v>Ficha Técnica</v>
      </c>
      <c r="H1794" s="15">
        <v>50</v>
      </c>
      <c r="I1794" s="163"/>
      <c r="J1794" s="15"/>
      <c r="K1794" s="163"/>
      <c r="L1794" s="15"/>
      <c r="M1794" s="188">
        <v>2.8</v>
      </c>
      <c r="N1794" s="169" t="s">
        <v>11</v>
      </c>
    </row>
    <row r="1795" spans="1:14" x14ac:dyDescent="0.25">
      <c r="A1795" s="63" t="s">
        <v>404</v>
      </c>
      <c r="B1795" s="74" t="s">
        <v>467</v>
      </c>
      <c r="C1795" s="2">
        <v>4058075401860</v>
      </c>
      <c r="D1795" s="84"/>
      <c r="E1795" s="101"/>
      <c r="F1795" s="17"/>
      <c r="G1795" s="156" t="str">
        <f>HYPERLINK("https://ledvance.com/pt/product-datasheet/8396/105607","Ficha Técnica")</f>
        <v>Ficha Técnica</v>
      </c>
      <c r="H1795" s="15">
        <v>25</v>
      </c>
      <c r="I1795" s="163"/>
      <c r="J1795" s="15"/>
      <c r="K1795" s="163"/>
      <c r="L1795" s="15"/>
      <c r="M1795" s="188">
        <v>6.7</v>
      </c>
      <c r="N1795" s="169" t="s">
        <v>11</v>
      </c>
    </row>
    <row r="1796" spans="1:14" x14ac:dyDescent="0.25">
      <c r="A1796" s="63" t="s">
        <v>404</v>
      </c>
      <c r="B1796" s="74" t="s">
        <v>468</v>
      </c>
      <c r="C1796" s="2">
        <v>4058075402225</v>
      </c>
      <c r="D1796" s="84"/>
      <c r="E1796" s="101"/>
      <c r="F1796" s="17"/>
      <c r="G1796" s="156" t="str">
        <f>HYPERLINK("https://ledvance.com/pt/product-datasheet/8396/105059","Ficha Técnica")</f>
        <v>Ficha Técnica</v>
      </c>
      <c r="H1796" s="15">
        <v>50</v>
      </c>
      <c r="I1796" s="163"/>
      <c r="J1796" s="15"/>
      <c r="K1796" s="163"/>
      <c r="L1796" s="15"/>
      <c r="M1796" s="188">
        <v>5.0999999999999996</v>
      </c>
      <c r="N1796" s="169" t="s">
        <v>11</v>
      </c>
    </row>
    <row r="1797" spans="1:14" x14ac:dyDescent="0.25">
      <c r="A1797" s="63" t="s">
        <v>404</v>
      </c>
      <c r="B1797" s="74" t="s">
        <v>469</v>
      </c>
      <c r="C1797" s="2">
        <v>4058075402041</v>
      </c>
      <c r="D1797" s="84"/>
      <c r="E1797" s="101"/>
      <c r="F1797" s="17"/>
      <c r="G1797" s="156" t="str">
        <f>HYPERLINK("https://ledvance.com/pt/product-datasheet/8396/105035","Ficha Técnica")</f>
        <v>Ficha Técnica</v>
      </c>
      <c r="H1797" s="15">
        <v>25</v>
      </c>
      <c r="I1797" s="163"/>
      <c r="J1797" s="15"/>
      <c r="K1797" s="163"/>
      <c r="L1797" s="15"/>
      <c r="M1797" s="188">
        <v>11.2</v>
      </c>
      <c r="N1797" s="169" t="s">
        <v>11</v>
      </c>
    </row>
    <row r="1798" spans="1:14" x14ac:dyDescent="0.25">
      <c r="A1798" s="63" t="s">
        <v>404</v>
      </c>
      <c r="B1798" s="74" t="s">
        <v>470</v>
      </c>
      <c r="C1798" s="2">
        <v>4058075277519</v>
      </c>
      <c r="D1798" s="84"/>
      <c r="E1798" s="101"/>
      <c r="F1798" s="17"/>
      <c r="G1798" s="156" t="str">
        <f>HYPERLINK("https://ledvance.com/pt/product-datasheet/8394/115441","Ficha Técnica")</f>
        <v>Ficha Técnica</v>
      </c>
      <c r="H1798" s="15">
        <v>100</v>
      </c>
      <c r="I1798" s="163"/>
      <c r="J1798" s="15"/>
      <c r="K1798" s="163"/>
      <c r="L1798" s="15"/>
      <c r="M1798" s="188">
        <v>1.6</v>
      </c>
      <c r="N1798" s="169" t="s">
        <v>11</v>
      </c>
    </row>
    <row r="1799" spans="1:14" x14ac:dyDescent="0.25">
      <c r="A1799" s="63" t="s">
        <v>404</v>
      </c>
      <c r="B1799" s="74" t="s">
        <v>471</v>
      </c>
      <c r="C1799" s="2">
        <v>4058075277540</v>
      </c>
      <c r="D1799" s="84"/>
      <c r="E1799" s="101"/>
      <c r="F1799" s="17"/>
      <c r="G1799" s="156" t="str">
        <f>HYPERLINK("https://ledvance.com/pt/product-datasheet/8394/115445","Ficha Técnica")</f>
        <v>Ficha Técnica</v>
      </c>
      <c r="H1799" s="15">
        <v>100</v>
      </c>
      <c r="I1799" s="163"/>
      <c r="J1799" s="15"/>
      <c r="K1799" s="163"/>
      <c r="L1799" s="15"/>
      <c r="M1799" s="188">
        <v>1.6</v>
      </c>
      <c r="N1799" s="169" t="s">
        <v>11</v>
      </c>
    </row>
    <row r="1800" spans="1:14" x14ac:dyDescent="0.25">
      <c r="A1800" s="63" t="s">
        <v>404</v>
      </c>
      <c r="B1800" s="74" t="s">
        <v>472</v>
      </c>
      <c r="C1800" s="2">
        <v>4058075276710</v>
      </c>
      <c r="D1800" s="84"/>
      <c r="E1800" s="101"/>
      <c r="F1800" s="17"/>
      <c r="G1800" s="156" t="str">
        <f>HYPERLINK("https://ledvance.com/pt/product-datasheet/8394/116855","Ficha Técnica")</f>
        <v>Ficha Técnica</v>
      </c>
      <c r="H1800" s="15">
        <v>100</v>
      </c>
      <c r="I1800" s="163"/>
      <c r="J1800" s="15"/>
      <c r="K1800" s="163"/>
      <c r="L1800" s="15"/>
      <c r="M1800" s="188">
        <v>1.6</v>
      </c>
      <c r="N1800" s="169" t="s">
        <v>11</v>
      </c>
    </row>
    <row r="1801" spans="1:14" x14ac:dyDescent="0.25">
      <c r="A1801" s="63" t="s">
        <v>404</v>
      </c>
      <c r="B1801" s="74" t="s">
        <v>473</v>
      </c>
      <c r="C1801" s="2">
        <v>4058075278226</v>
      </c>
      <c r="D1801" s="84"/>
      <c r="E1801" s="101"/>
      <c r="F1801" s="17"/>
      <c r="G1801" s="156" t="str">
        <f>HYPERLINK("https://ledvance.com/pt/product-datasheet/8394/115449","Ficha Técnica")</f>
        <v>Ficha Técnica</v>
      </c>
      <c r="H1801" s="15">
        <v>50</v>
      </c>
      <c r="I1801" s="163"/>
      <c r="J1801" s="15"/>
      <c r="K1801" s="163"/>
      <c r="L1801" s="15"/>
      <c r="M1801" s="188">
        <v>4.0999999999999996</v>
      </c>
      <c r="N1801" s="169" t="s">
        <v>11</v>
      </c>
    </row>
    <row r="1802" spans="1:14" x14ac:dyDescent="0.25">
      <c r="A1802" s="63" t="s">
        <v>404</v>
      </c>
      <c r="B1802" s="74" t="s">
        <v>474</v>
      </c>
      <c r="C1802" s="2">
        <v>4058075401563</v>
      </c>
      <c r="D1802" s="84"/>
      <c r="E1802" s="101"/>
      <c r="F1802" s="17"/>
      <c r="G1802" s="156" t="str">
        <f>HYPERLINK("https://ledvance.com/pt/product-datasheet/8394/105567","Ficha Técnica")</f>
        <v>Ficha Técnica</v>
      </c>
      <c r="H1802" s="15">
        <v>25</v>
      </c>
      <c r="I1802" s="163"/>
      <c r="J1802" s="15"/>
      <c r="K1802" s="163"/>
      <c r="L1802" s="15"/>
      <c r="M1802" s="188">
        <v>8.9</v>
      </c>
      <c r="N1802" s="169" t="s">
        <v>11</v>
      </c>
    </row>
    <row r="1803" spans="1:14" x14ac:dyDescent="0.25">
      <c r="A1803" s="63" t="s">
        <v>404</v>
      </c>
      <c r="B1803" s="74" t="s">
        <v>475</v>
      </c>
      <c r="C1803" s="2">
        <v>4058075279339</v>
      </c>
      <c r="D1803" s="84"/>
      <c r="E1803" s="101"/>
      <c r="F1803" s="17"/>
      <c r="G1803" s="156" t="str">
        <f>HYPERLINK("https://ledvance.com/pt/product-datasheet/8396/115437","Ficha Técnica")</f>
        <v>Ficha Técnica</v>
      </c>
      <c r="H1803" s="15">
        <v>50</v>
      </c>
      <c r="I1803" s="163"/>
      <c r="J1803" s="15"/>
      <c r="K1803" s="163"/>
      <c r="L1803" s="15"/>
      <c r="M1803" s="188">
        <v>2.8</v>
      </c>
      <c r="N1803" s="169" t="s">
        <v>11</v>
      </c>
    </row>
    <row r="1804" spans="1:14" x14ac:dyDescent="0.25">
      <c r="A1804" s="63" t="s">
        <v>404</v>
      </c>
      <c r="B1804" s="74" t="s">
        <v>476</v>
      </c>
      <c r="C1804" s="2">
        <v>4058075401839</v>
      </c>
      <c r="D1804" s="84"/>
      <c r="E1804" s="101"/>
      <c r="F1804" s="17"/>
      <c r="G1804" s="156" t="str">
        <f>HYPERLINK("https://ledvance.com/pt/product-datasheet/8396/105603","Ficha Técnica")</f>
        <v>Ficha Técnica</v>
      </c>
      <c r="H1804" s="15">
        <v>25</v>
      </c>
      <c r="I1804" s="163"/>
      <c r="J1804" s="15"/>
      <c r="K1804" s="163"/>
      <c r="L1804" s="15"/>
      <c r="M1804" s="188">
        <v>8.5</v>
      </c>
      <c r="N1804" s="169" t="s">
        <v>11</v>
      </c>
    </row>
    <row r="1805" spans="1:14" x14ac:dyDescent="0.25">
      <c r="A1805" s="63" t="s">
        <v>404</v>
      </c>
      <c r="B1805" s="74" t="s">
        <v>477</v>
      </c>
      <c r="C1805" s="2">
        <v>4058075402195</v>
      </c>
      <c r="D1805" s="84"/>
      <c r="E1805" s="101"/>
      <c r="F1805" s="17"/>
      <c r="G1805" s="156" t="str">
        <f>HYPERLINK("https://ledvance.com/pt/product-datasheet/8396/105055","Ficha Técnica")</f>
        <v>Ficha Técnica</v>
      </c>
      <c r="H1805" s="15">
        <v>50</v>
      </c>
      <c r="I1805" s="163"/>
      <c r="J1805" s="15"/>
      <c r="K1805" s="163"/>
      <c r="L1805" s="15"/>
      <c r="M1805" s="188">
        <v>5.0999999999999996</v>
      </c>
      <c r="N1805" s="169" t="s">
        <v>11</v>
      </c>
    </row>
    <row r="1806" spans="1:14" x14ac:dyDescent="0.25">
      <c r="A1806" s="63" t="s">
        <v>404</v>
      </c>
      <c r="B1806" s="74" t="s">
        <v>478</v>
      </c>
      <c r="C1806" s="2">
        <v>4058075402010</v>
      </c>
      <c r="D1806" s="84"/>
      <c r="E1806" s="101"/>
      <c r="F1806" s="17"/>
      <c r="G1806" s="156" t="str">
        <f>HYPERLINK("https://ledvance.com/pt/product-datasheet/8396/105031","Ficha Técnica")</f>
        <v>Ficha Técnica</v>
      </c>
      <c r="H1806" s="15">
        <v>25</v>
      </c>
      <c r="I1806" s="163"/>
      <c r="J1806" s="15"/>
      <c r="K1806" s="163"/>
      <c r="L1806" s="15"/>
      <c r="M1806" s="188">
        <v>11.2</v>
      </c>
      <c r="N1806" s="169" t="s">
        <v>11</v>
      </c>
    </row>
    <row r="1807" spans="1:14" x14ac:dyDescent="0.25">
      <c r="A1807" s="63" t="s">
        <v>404</v>
      </c>
      <c r="B1807" s="74" t="s">
        <v>479</v>
      </c>
      <c r="C1807" s="2">
        <v>4058075277571</v>
      </c>
      <c r="D1807" s="84"/>
      <c r="E1807" s="101"/>
      <c r="F1807" s="17"/>
      <c r="G1807" s="156" t="str">
        <f>HYPERLINK("https://ledvance.com/pt/product-datasheet/8394/115453","Ficha Técnica")</f>
        <v>Ficha Técnica</v>
      </c>
      <c r="H1807" s="15">
        <v>100</v>
      </c>
      <c r="I1807" s="163"/>
      <c r="J1807" s="15"/>
      <c r="K1807" s="163"/>
      <c r="L1807" s="15"/>
      <c r="M1807" s="188">
        <v>1.6</v>
      </c>
      <c r="N1807" s="169" t="s">
        <v>11</v>
      </c>
    </row>
    <row r="1808" spans="1:14" x14ac:dyDescent="0.25">
      <c r="A1808" s="63" t="s">
        <v>404</v>
      </c>
      <c r="B1808" s="74" t="s">
        <v>480</v>
      </c>
      <c r="C1808" s="2">
        <v>4058075277601</v>
      </c>
      <c r="D1808" s="84"/>
      <c r="E1808" s="101"/>
      <c r="F1808" s="17"/>
      <c r="G1808" s="156" t="str">
        <f>HYPERLINK("https://ledvance.com/pt/product-datasheet/8394/115457","Ficha Técnica")</f>
        <v>Ficha Técnica</v>
      </c>
      <c r="H1808" s="15">
        <v>100</v>
      </c>
      <c r="I1808" s="163"/>
      <c r="J1808" s="15"/>
      <c r="K1808" s="163"/>
      <c r="L1808" s="15"/>
      <c r="M1808" s="188">
        <v>1.6</v>
      </c>
      <c r="N1808" s="169" t="s">
        <v>11</v>
      </c>
    </row>
    <row r="1809" spans="1:14" x14ac:dyDescent="0.25">
      <c r="A1809" s="63" t="s">
        <v>404</v>
      </c>
      <c r="B1809" s="74" t="s">
        <v>481</v>
      </c>
      <c r="C1809" s="2">
        <v>4058075276741</v>
      </c>
      <c r="D1809" s="84"/>
      <c r="E1809" s="101"/>
      <c r="F1809" s="17"/>
      <c r="G1809" s="156" t="str">
        <f>HYPERLINK("https://ledvance.com/pt/product-datasheet/8394/116859","Ficha Técnica")</f>
        <v>Ficha Técnica</v>
      </c>
      <c r="H1809" s="15">
        <v>100</v>
      </c>
      <c r="I1809" s="163"/>
      <c r="J1809" s="15"/>
      <c r="K1809" s="163"/>
      <c r="L1809" s="15"/>
      <c r="M1809" s="188">
        <v>1.3</v>
      </c>
      <c r="N1809" s="169" t="s">
        <v>11</v>
      </c>
    </row>
    <row r="1810" spans="1:14" x14ac:dyDescent="0.25">
      <c r="A1810" s="63" t="s">
        <v>404</v>
      </c>
      <c r="B1810" s="74" t="s">
        <v>482</v>
      </c>
      <c r="C1810" s="2">
        <v>4058075278257</v>
      </c>
      <c r="D1810" s="84"/>
      <c r="E1810" s="101"/>
      <c r="F1810" s="17"/>
      <c r="G1810" s="156" t="str">
        <f>HYPERLINK("https://ledvance.com/pt/product-datasheet/8394/115513","Ficha Técnica")</f>
        <v>Ficha Técnica</v>
      </c>
      <c r="H1810" s="15">
        <v>50</v>
      </c>
      <c r="I1810" s="163"/>
      <c r="J1810" s="15"/>
      <c r="K1810" s="163"/>
      <c r="L1810" s="15"/>
      <c r="M1810" s="188">
        <v>4.0999999999999996</v>
      </c>
      <c r="N1810" s="169" t="s">
        <v>11</v>
      </c>
    </row>
    <row r="1811" spans="1:14" x14ac:dyDescent="0.25">
      <c r="A1811" s="63" t="s">
        <v>404</v>
      </c>
      <c r="B1811" s="74" t="s">
        <v>483</v>
      </c>
      <c r="C1811" s="2">
        <v>4058075401594</v>
      </c>
      <c r="D1811" s="84"/>
      <c r="E1811" s="101"/>
      <c r="F1811" s="17"/>
      <c r="G1811" s="156" t="str">
        <f>HYPERLINK("https://ledvance.com/pt/product-datasheet/8394/105571","Ficha Técnica")</f>
        <v>Ficha Técnica</v>
      </c>
      <c r="H1811" s="15">
        <v>25</v>
      </c>
      <c r="I1811" s="163"/>
      <c r="J1811" s="15"/>
      <c r="K1811" s="163"/>
      <c r="L1811" s="15"/>
      <c r="M1811" s="188">
        <v>11.3</v>
      </c>
      <c r="N1811" s="169" t="s">
        <v>11</v>
      </c>
    </row>
    <row r="1812" spans="1:14" x14ac:dyDescent="0.25">
      <c r="A1812" s="63" t="s">
        <v>404</v>
      </c>
      <c r="B1812" s="74" t="s">
        <v>484</v>
      </c>
      <c r="C1812" s="2">
        <v>4058075279360</v>
      </c>
      <c r="D1812" s="84"/>
      <c r="E1812" s="101"/>
      <c r="F1812" s="17"/>
      <c r="G1812" s="156" t="str">
        <f>HYPERLINK("https://ledvance.com/pt/product-datasheet/8396/115501","Ficha Técnica")</f>
        <v>Ficha Técnica</v>
      </c>
      <c r="H1812" s="15">
        <v>50</v>
      </c>
      <c r="I1812" s="163"/>
      <c r="J1812" s="15"/>
      <c r="K1812" s="163"/>
      <c r="L1812" s="15"/>
      <c r="M1812" s="188">
        <v>2.8</v>
      </c>
      <c r="N1812" s="169" t="s">
        <v>11</v>
      </c>
    </row>
    <row r="1813" spans="1:14" x14ac:dyDescent="0.25">
      <c r="A1813" s="63" t="s">
        <v>404</v>
      </c>
      <c r="B1813" s="74" t="s">
        <v>485</v>
      </c>
      <c r="C1813" s="2">
        <v>4058075401891</v>
      </c>
      <c r="D1813" s="84"/>
      <c r="E1813" s="101"/>
      <c r="F1813" s="17"/>
      <c r="G1813" s="156" t="str">
        <f>HYPERLINK("https://ledvance.com/pt/product-datasheet/8396/105015","Ficha Técnica")</f>
        <v>Ficha Técnica</v>
      </c>
      <c r="H1813" s="15">
        <v>25</v>
      </c>
      <c r="I1813" s="163"/>
      <c r="J1813" s="15"/>
      <c r="K1813" s="163"/>
      <c r="L1813" s="15"/>
      <c r="M1813" s="188">
        <v>6.7</v>
      </c>
      <c r="N1813" s="169" t="s">
        <v>11</v>
      </c>
    </row>
    <row r="1814" spans="1:14" x14ac:dyDescent="0.25">
      <c r="A1814" s="63" t="s">
        <v>404</v>
      </c>
      <c r="B1814" s="74" t="s">
        <v>486</v>
      </c>
      <c r="C1814" s="2">
        <v>4058075402256</v>
      </c>
      <c r="D1814" s="84"/>
      <c r="E1814" s="101"/>
      <c r="F1814" s="17"/>
      <c r="G1814" s="156" t="str">
        <f>HYPERLINK("https://ledvance.com/pt/product-datasheet/8396/105063","Ficha Técnica")</f>
        <v>Ficha Técnica</v>
      </c>
      <c r="H1814" s="15">
        <v>50</v>
      </c>
      <c r="I1814" s="163"/>
      <c r="J1814" s="15"/>
      <c r="K1814" s="163"/>
      <c r="L1814" s="15"/>
      <c r="M1814" s="188">
        <v>5.0999999999999996</v>
      </c>
      <c r="N1814" s="169" t="s">
        <v>11</v>
      </c>
    </row>
    <row r="1815" spans="1:14" x14ac:dyDescent="0.25">
      <c r="A1815" s="63" t="s">
        <v>404</v>
      </c>
      <c r="B1815" s="74" t="s">
        <v>487</v>
      </c>
      <c r="C1815" s="2">
        <v>4058075402072</v>
      </c>
      <c r="D1815" s="84"/>
      <c r="E1815" s="101"/>
      <c r="F1815" s="17"/>
      <c r="G1815" s="156" t="str">
        <f>HYPERLINK("https://ledvance.com/pt/product-datasheet/8396/105039","Ficha Técnica")</f>
        <v>Ficha Técnica</v>
      </c>
      <c r="H1815" s="15">
        <v>25</v>
      </c>
      <c r="I1815" s="163"/>
      <c r="J1815" s="15"/>
      <c r="K1815" s="163"/>
      <c r="L1815" s="15"/>
      <c r="M1815" s="188">
        <v>11.2</v>
      </c>
      <c r="N1815" s="169" t="s">
        <v>11</v>
      </c>
    </row>
    <row r="1816" spans="1:14" x14ac:dyDescent="0.25">
      <c r="A1816" s="63" t="s">
        <v>404</v>
      </c>
      <c r="B1816" s="74" t="s">
        <v>488</v>
      </c>
      <c r="C1816" s="2">
        <v>4058075277632</v>
      </c>
      <c r="D1816" s="84"/>
      <c r="E1816" s="101"/>
      <c r="F1816" s="17"/>
      <c r="G1816" s="156" t="str">
        <f>HYPERLINK("https://ledvance.com/pt/product-datasheet/8394/115517","Ficha Técnica")</f>
        <v>Ficha Técnica</v>
      </c>
      <c r="H1816" s="15">
        <v>100</v>
      </c>
      <c r="I1816" s="163"/>
      <c r="J1816" s="15"/>
      <c r="K1816" s="163"/>
      <c r="L1816" s="15"/>
      <c r="M1816" s="188">
        <v>1.6</v>
      </c>
      <c r="N1816" s="169" t="s">
        <v>11</v>
      </c>
    </row>
    <row r="1817" spans="1:14" x14ac:dyDescent="0.25">
      <c r="A1817" s="63" t="s">
        <v>404</v>
      </c>
      <c r="B1817" s="74" t="s">
        <v>489</v>
      </c>
      <c r="C1817" s="2">
        <v>4058075277663</v>
      </c>
      <c r="D1817" s="84"/>
      <c r="E1817" s="101"/>
      <c r="F1817" s="17"/>
      <c r="G1817" s="156" t="str">
        <f>HYPERLINK("https://ledvance.com/pt/product-datasheet/8394/115521","Ficha Técnica")</f>
        <v>Ficha Técnica</v>
      </c>
      <c r="H1817" s="15">
        <v>100</v>
      </c>
      <c r="I1817" s="163"/>
      <c r="J1817" s="15"/>
      <c r="K1817" s="163"/>
      <c r="L1817" s="15"/>
      <c r="M1817" s="188">
        <v>1.6</v>
      </c>
      <c r="N1817" s="169" t="s">
        <v>11</v>
      </c>
    </row>
    <row r="1818" spans="1:14" x14ac:dyDescent="0.25">
      <c r="A1818" s="63" t="s">
        <v>404</v>
      </c>
      <c r="B1818" s="74" t="s">
        <v>490</v>
      </c>
      <c r="C1818" s="2">
        <v>4058075276772</v>
      </c>
      <c r="D1818" s="84"/>
      <c r="E1818" s="101"/>
      <c r="F1818" s="17"/>
      <c r="G1818" s="156" t="str">
        <f>HYPERLINK("https://ledvance.com/pt/product-datasheet/8394/116863","Ficha Técnica")</f>
        <v>Ficha Técnica</v>
      </c>
      <c r="H1818" s="15">
        <v>100</v>
      </c>
      <c r="I1818" s="163"/>
      <c r="J1818" s="15"/>
      <c r="K1818" s="163"/>
      <c r="L1818" s="15"/>
      <c r="M1818" s="188">
        <v>1.6</v>
      </c>
      <c r="N1818" s="169" t="s">
        <v>11</v>
      </c>
    </row>
    <row r="1819" spans="1:14" x14ac:dyDescent="0.25">
      <c r="A1819" s="63" t="s">
        <v>404</v>
      </c>
      <c r="B1819" s="74" t="s">
        <v>491</v>
      </c>
      <c r="C1819" s="2">
        <v>4058075278288</v>
      </c>
      <c r="D1819" s="84"/>
      <c r="E1819" s="101"/>
      <c r="F1819" s="17"/>
      <c r="G1819" s="156" t="str">
        <f>HYPERLINK("https://ledvance.com/pt/product-datasheet/8394/115525","Ficha Técnica")</f>
        <v>Ficha Técnica</v>
      </c>
      <c r="H1819" s="15">
        <v>50</v>
      </c>
      <c r="I1819" s="163"/>
      <c r="J1819" s="15"/>
      <c r="K1819" s="163"/>
      <c r="L1819" s="15"/>
      <c r="M1819" s="188">
        <v>4.0999999999999996</v>
      </c>
      <c r="N1819" s="169" t="s">
        <v>11</v>
      </c>
    </row>
    <row r="1820" spans="1:14" x14ac:dyDescent="0.25">
      <c r="A1820" s="63" t="s">
        <v>404</v>
      </c>
      <c r="B1820" s="74" t="s">
        <v>492</v>
      </c>
      <c r="C1820" s="2">
        <v>4058075401624</v>
      </c>
      <c r="D1820" s="84"/>
      <c r="E1820" s="101"/>
      <c r="F1820" s="17"/>
      <c r="G1820" s="156" t="str">
        <f>HYPERLINK("https://ledvance.com/pt/product-datasheet/8394/105575","Ficha Técnica")</f>
        <v>Ficha Técnica</v>
      </c>
      <c r="H1820" s="15">
        <v>25</v>
      </c>
      <c r="I1820" s="163"/>
      <c r="J1820" s="15"/>
      <c r="K1820" s="163"/>
      <c r="L1820" s="15"/>
      <c r="M1820" s="188">
        <v>8.9</v>
      </c>
      <c r="N1820" s="169" t="s">
        <v>11</v>
      </c>
    </row>
    <row r="1821" spans="1:14" x14ac:dyDescent="0.25">
      <c r="A1821" s="63" t="s">
        <v>404</v>
      </c>
      <c r="B1821" s="74" t="s">
        <v>493</v>
      </c>
      <c r="C1821" s="2">
        <v>4058075277694</v>
      </c>
      <c r="D1821" s="84"/>
      <c r="E1821" s="101"/>
      <c r="F1821" s="17"/>
      <c r="G1821" s="156" t="str">
        <f>HYPERLINK("https://ledvance.com/pt/product-datasheet/8394/115529","Ficha Técnica")</f>
        <v>Ficha Técnica</v>
      </c>
      <c r="H1821" s="15">
        <v>100</v>
      </c>
      <c r="I1821" s="163"/>
      <c r="J1821" s="15"/>
      <c r="K1821" s="163"/>
      <c r="L1821" s="15"/>
      <c r="M1821" s="188">
        <v>1.6</v>
      </c>
      <c r="N1821" s="169" t="s">
        <v>11</v>
      </c>
    </row>
    <row r="1822" spans="1:14" x14ac:dyDescent="0.25">
      <c r="A1822" s="63" t="s">
        <v>404</v>
      </c>
      <c r="B1822" s="74" t="s">
        <v>494</v>
      </c>
      <c r="C1822" s="2">
        <v>4058075277724</v>
      </c>
      <c r="D1822" s="84"/>
      <c r="E1822" s="101"/>
      <c r="F1822" s="17"/>
      <c r="G1822" s="156" t="str">
        <f>HYPERLINK("https://ledvance.com/pt/product-datasheet/8394/115533","Ficha Técnica")</f>
        <v>Ficha Técnica</v>
      </c>
      <c r="H1822" s="15">
        <v>100</v>
      </c>
      <c r="I1822" s="163"/>
      <c r="J1822" s="15"/>
      <c r="K1822" s="163"/>
      <c r="L1822" s="15"/>
      <c r="M1822" s="188">
        <v>1.6</v>
      </c>
      <c r="N1822" s="169" t="s">
        <v>11</v>
      </c>
    </row>
    <row r="1823" spans="1:14" x14ac:dyDescent="0.25">
      <c r="A1823" s="63" t="s">
        <v>404</v>
      </c>
      <c r="B1823" s="74" t="s">
        <v>495</v>
      </c>
      <c r="C1823" s="2">
        <v>4058075276857</v>
      </c>
      <c r="D1823" s="84"/>
      <c r="E1823" s="101"/>
      <c r="F1823" s="17"/>
      <c r="G1823" s="156" t="str">
        <f>HYPERLINK("https://ledvance.com/pt/product-datasheet/8394/116867","Ficha Técnica")</f>
        <v>Ficha Técnica</v>
      </c>
      <c r="H1823" s="15">
        <v>100</v>
      </c>
      <c r="I1823" s="163"/>
      <c r="J1823" s="15"/>
      <c r="K1823" s="163"/>
      <c r="L1823" s="15"/>
      <c r="M1823" s="188">
        <v>1.3</v>
      </c>
      <c r="N1823" s="169" t="s">
        <v>11</v>
      </c>
    </row>
    <row r="1824" spans="1:14" x14ac:dyDescent="0.25">
      <c r="A1824" s="63" t="s">
        <v>404</v>
      </c>
      <c r="B1824" s="74" t="s">
        <v>496</v>
      </c>
      <c r="C1824" s="2">
        <v>4058075278318</v>
      </c>
      <c r="D1824" s="84"/>
      <c r="E1824" s="101"/>
      <c r="F1824" s="17"/>
      <c r="G1824" s="156" t="str">
        <f>HYPERLINK("https://ledvance.com/pt/product-datasheet/8395/115461","Ficha Técnica")</f>
        <v>Ficha Técnica</v>
      </c>
      <c r="H1824" s="15">
        <v>50</v>
      </c>
      <c r="I1824" s="163"/>
      <c r="J1824" s="15"/>
      <c r="K1824" s="163"/>
      <c r="L1824" s="15"/>
      <c r="M1824" s="188">
        <v>5.0999999999999996</v>
      </c>
      <c r="N1824" s="169" t="s">
        <v>11</v>
      </c>
    </row>
    <row r="1825" spans="1:14" x14ac:dyDescent="0.25">
      <c r="A1825" s="63" t="s">
        <v>404</v>
      </c>
      <c r="B1825" s="74" t="s">
        <v>497</v>
      </c>
      <c r="C1825" s="2">
        <v>4058075401655</v>
      </c>
      <c r="D1825" s="84"/>
      <c r="E1825" s="101"/>
      <c r="F1825" s="17"/>
      <c r="G1825" s="156" t="str">
        <f>HYPERLINK("https://ledvance.com/pt/product-datasheet/8395/105579","Ficha Técnica")</f>
        <v>Ficha Técnica</v>
      </c>
      <c r="H1825" s="15">
        <v>25</v>
      </c>
      <c r="I1825" s="163"/>
      <c r="J1825" s="15"/>
      <c r="K1825" s="163"/>
      <c r="L1825" s="15"/>
      <c r="M1825" s="188">
        <v>11.3</v>
      </c>
      <c r="N1825" s="169" t="s">
        <v>11</v>
      </c>
    </row>
    <row r="1826" spans="1:14" x14ac:dyDescent="0.25">
      <c r="A1826" s="63" t="s">
        <v>404</v>
      </c>
      <c r="B1826" s="74" t="s">
        <v>498</v>
      </c>
      <c r="C1826" s="2">
        <v>4058075277755</v>
      </c>
      <c r="D1826" s="84"/>
      <c r="E1826" s="101"/>
      <c r="F1826" s="17"/>
      <c r="G1826" s="156" t="str">
        <f>HYPERLINK("https://ledvance.com/pt/product-datasheet/8395/115465","Ficha Técnica")</f>
        <v>Ficha Técnica</v>
      </c>
      <c r="H1826" s="15">
        <v>100</v>
      </c>
      <c r="I1826" s="163"/>
      <c r="J1826" s="15"/>
      <c r="K1826" s="163"/>
      <c r="L1826" s="15"/>
      <c r="M1826" s="188">
        <v>1.6</v>
      </c>
      <c r="N1826" s="169" t="s">
        <v>11</v>
      </c>
    </row>
    <row r="1827" spans="1:14" x14ac:dyDescent="0.25">
      <c r="A1827" s="63" t="s">
        <v>404</v>
      </c>
      <c r="B1827" s="74" t="s">
        <v>499</v>
      </c>
      <c r="C1827" s="2">
        <v>4058075277786</v>
      </c>
      <c r="D1827" s="84"/>
      <c r="E1827" s="101"/>
      <c r="F1827" s="17"/>
      <c r="G1827" s="156" t="str">
        <f>HYPERLINK("https://ledvance.com/pt/product-datasheet/8395/115469","Ficha Técnica")</f>
        <v>Ficha Técnica</v>
      </c>
      <c r="H1827" s="15">
        <v>100</v>
      </c>
      <c r="I1827" s="163"/>
      <c r="J1827" s="15"/>
      <c r="K1827" s="163"/>
      <c r="L1827" s="15"/>
      <c r="M1827" s="188">
        <v>1.6</v>
      </c>
      <c r="N1827" s="169" t="s">
        <v>11</v>
      </c>
    </row>
    <row r="1828" spans="1:14" x14ac:dyDescent="0.25">
      <c r="A1828" s="63" t="s">
        <v>404</v>
      </c>
      <c r="B1828" s="74" t="s">
        <v>500</v>
      </c>
      <c r="C1828" s="2">
        <v>4058075276888</v>
      </c>
      <c r="D1828" s="84"/>
      <c r="E1828" s="101"/>
      <c r="F1828" s="17"/>
      <c r="G1828" s="156" t="str">
        <f>HYPERLINK("https://ledvance.com/pt/product-datasheet/8395/116871","Ficha Técnica")</f>
        <v>Ficha Técnica</v>
      </c>
      <c r="H1828" s="15">
        <v>100</v>
      </c>
      <c r="I1828" s="163"/>
      <c r="J1828" s="15"/>
      <c r="K1828" s="163"/>
      <c r="L1828" s="15"/>
      <c r="M1828" s="188">
        <v>1.6</v>
      </c>
      <c r="N1828" s="169" t="s">
        <v>11</v>
      </c>
    </row>
    <row r="1829" spans="1:14" x14ac:dyDescent="0.25">
      <c r="A1829" s="63" t="s">
        <v>404</v>
      </c>
      <c r="B1829" s="74" t="s">
        <v>501</v>
      </c>
      <c r="C1829" s="2">
        <v>4058075278400</v>
      </c>
      <c r="D1829" s="84"/>
      <c r="E1829" s="101"/>
      <c r="F1829" s="17"/>
      <c r="G1829" s="156" t="str">
        <f>HYPERLINK("https://ledvance.com/pt/product-datasheet/8395/116819","Ficha Técnica")</f>
        <v>Ficha Técnica</v>
      </c>
      <c r="H1829" s="15">
        <v>50</v>
      </c>
      <c r="I1829" s="163"/>
      <c r="J1829" s="15"/>
      <c r="K1829" s="163"/>
      <c r="L1829" s="15"/>
      <c r="M1829" s="188">
        <v>6.7</v>
      </c>
      <c r="N1829" s="169" t="s">
        <v>11</v>
      </c>
    </row>
    <row r="1830" spans="1:14" x14ac:dyDescent="0.25">
      <c r="A1830" s="63" t="s">
        <v>404</v>
      </c>
      <c r="B1830" s="74" t="s">
        <v>502</v>
      </c>
      <c r="C1830" s="2">
        <v>4058075401747</v>
      </c>
      <c r="D1830" s="84"/>
      <c r="E1830" s="101"/>
      <c r="F1830" s="17"/>
      <c r="G1830" s="156" t="str">
        <f>HYPERLINK("https://ledvance.com/pt/product-datasheet/8395/105591","Ficha Técnica")</f>
        <v>Ficha Técnica</v>
      </c>
      <c r="H1830" s="15">
        <v>25</v>
      </c>
      <c r="I1830" s="163"/>
      <c r="J1830" s="15"/>
      <c r="K1830" s="163"/>
      <c r="L1830" s="15"/>
      <c r="M1830" s="188">
        <v>13.9</v>
      </c>
      <c r="N1830" s="169" t="s">
        <v>11</v>
      </c>
    </row>
    <row r="1831" spans="1:14" x14ac:dyDescent="0.25">
      <c r="A1831" s="63" t="s">
        <v>404</v>
      </c>
      <c r="B1831" s="74" t="s">
        <v>503</v>
      </c>
      <c r="C1831" s="2">
        <v>4058075305793</v>
      </c>
      <c r="D1831" s="84"/>
      <c r="E1831" s="101"/>
      <c r="F1831" s="17"/>
      <c r="G1831" s="156" t="str">
        <f>HYPERLINK("https://ledvance.com/pt/product-datasheet/8396/115353","Ficha Técnica")</f>
        <v>Ficha Técnica</v>
      </c>
      <c r="H1831" s="15">
        <v>50</v>
      </c>
      <c r="I1831" s="163"/>
      <c r="J1831" s="15"/>
      <c r="K1831" s="163"/>
      <c r="L1831" s="15"/>
      <c r="M1831" s="188">
        <v>2.8</v>
      </c>
      <c r="N1831" s="169" t="s">
        <v>11</v>
      </c>
    </row>
    <row r="1832" spans="1:14" x14ac:dyDescent="0.25">
      <c r="A1832" s="63" t="s">
        <v>404</v>
      </c>
      <c r="B1832" s="74" t="s">
        <v>504</v>
      </c>
      <c r="C1832" s="2">
        <v>4058075401921</v>
      </c>
      <c r="D1832" s="84"/>
      <c r="E1832" s="101"/>
      <c r="F1832" s="17"/>
      <c r="G1832" s="156" t="str">
        <f>HYPERLINK("https://ledvance.com/pt/product-datasheet/8396/105019","Ficha Técnica")</f>
        <v>Ficha Técnica</v>
      </c>
      <c r="H1832" s="15">
        <v>25</v>
      </c>
      <c r="I1832" s="163"/>
      <c r="J1832" s="15"/>
      <c r="K1832" s="163"/>
      <c r="L1832" s="15"/>
      <c r="M1832" s="188">
        <v>8.5</v>
      </c>
      <c r="N1832" s="169" t="s">
        <v>11</v>
      </c>
    </row>
    <row r="1833" spans="1:14" x14ac:dyDescent="0.25">
      <c r="A1833" s="63" t="s">
        <v>404</v>
      </c>
      <c r="B1833" s="74" t="s">
        <v>505</v>
      </c>
      <c r="C1833" s="2">
        <v>4058075402287</v>
      </c>
      <c r="D1833" s="84"/>
      <c r="E1833" s="101"/>
      <c r="F1833" s="17"/>
      <c r="G1833" s="156" t="str">
        <f>HYPERLINK("https://ledvance.com/pt/product-datasheet/8396/105067","Ficha Técnica")</f>
        <v>Ficha Técnica</v>
      </c>
      <c r="H1833" s="15">
        <v>50</v>
      </c>
      <c r="I1833" s="163"/>
      <c r="J1833" s="15"/>
      <c r="K1833" s="163"/>
      <c r="L1833" s="15"/>
      <c r="M1833" s="188">
        <v>5.0999999999999996</v>
      </c>
      <c r="N1833" s="169" t="s">
        <v>11</v>
      </c>
    </row>
    <row r="1834" spans="1:14" x14ac:dyDescent="0.25">
      <c r="A1834" s="63" t="s">
        <v>404</v>
      </c>
      <c r="B1834" s="74" t="s">
        <v>506</v>
      </c>
      <c r="C1834" s="2">
        <v>4058075402102</v>
      </c>
      <c r="D1834" s="84"/>
      <c r="E1834" s="101"/>
      <c r="F1834" s="17"/>
      <c r="G1834" s="156" t="str">
        <f>HYPERLINK("https://ledvance.com/pt/product-datasheet/8396/105043","Ficha Técnica")</f>
        <v>Ficha Técnica</v>
      </c>
      <c r="H1834" s="15">
        <v>25</v>
      </c>
      <c r="I1834" s="163"/>
      <c r="J1834" s="15"/>
      <c r="K1834" s="163"/>
      <c r="L1834" s="15"/>
      <c r="M1834" s="188">
        <v>11.2</v>
      </c>
      <c r="N1834" s="169" t="s">
        <v>11</v>
      </c>
    </row>
    <row r="1835" spans="1:14" x14ac:dyDescent="0.25">
      <c r="A1835" s="63" t="s">
        <v>404</v>
      </c>
      <c r="B1835" s="74" t="s">
        <v>507</v>
      </c>
      <c r="C1835" s="2">
        <v>4058075277939</v>
      </c>
      <c r="D1835" s="84"/>
      <c r="E1835" s="101"/>
      <c r="F1835" s="17"/>
      <c r="G1835" s="156" t="str">
        <f>HYPERLINK("https://ledvance.com/pt/product-datasheet/8395/116827","Ficha Técnica")</f>
        <v>Ficha Técnica</v>
      </c>
      <c r="H1835" s="15">
        <v>100</v>
      </c>
      <c r="I1835" s="163"/>
      <c r="J1835" s="15"/>
      <c r="K1835" s="163"/>
      <c r="L1835" s="15"/>
      <c r="M1835" s="188">
        <v>1.6</v>
      </c>
      <c r="N1835" s="169" t="s">
        <v>11</v>
      </c>
    </row>
    <row r="1836" spans="1:14" x14ac:dyDescent="0.25">
      <c r="A1836" s="63" t="s">
        <v>404</v>
      </c>
      <c r="B1836" s="74" t="s">
        <v>508</v>
      </c>
      <c r="C1836" s="2">
        <v>4058075275836</v>
      </c>
      <c r="D1836" s="84"/>
      <c r="E1836" s="101"/>
      <c r="F1836" s="17"/>
      <c r="G1836" s="156" t="str">
        <f>HYPERLINK("https://ledvance.com/pt/product-datasheet/8395/116831","Ficha Técnica")</f>
        <v>Ficha Técnica</v>
      </c>
      <c r="H1836" s="15">
        <v>100</v>
      </c>
      <c r="I1836" s="163"/>
      <c r="J1836" s="15"/>
      <c r="K1836" s="163"/>
      <c r="L1836" s="15"/>
      <c r="M1836" s="188">
        <v>1.6</v>
      </c>
      <c r="N1836" s="169" t="s">
        <v>11</v>
      </c>
    </row>
    <row r="1837" spans="1:14" x14ac:dyDescent="0.25">
      <c r="A1837" s="63" t="s">
        <v>404</v>
      </c>
      <c r="B1837" s="74" t="s">
        <v>509</v>
      </c>
      <c r="C1837" s="2">
        <v>4058075276970</v>
      </c>
      <c r="D1837" s="84"/>
      <c r="E1837" s="101"/>
      <c r="F1837" s="17"/>
      <c r="G1837" s="156" t="str">
        <f>HYPERLINK("https://ledvance.com/pt/product-datasheet/8395/116883","Ficha Técnica")</f>
        <v>Ficha Técnica</v>
      </c>
      <c r="H1837" s="15">
        <v>100</v>
      </c>
      <c r="I1837" s="163"/>
      <c r="J1837" s="15"/>
      <c r="K1837" s="163"/>
      <c r="L1837" s="15"/>
      <c r="M1837" s="188">
        <v>1.3</v>
      </c>
      <c r="N1837" s="169" t="s">
        <v>11</v>
      </c>
    </row>
    <row r="1838" spans="1:14" x14ac:dyDescent="0.25">
      <c r="A1838" s="66" t="s">
        <v>404</v>
      </c>
      <c r="B1838" s="79" t="s">
        <v>2186</v>
      </c>
      <c r="C1838" s="51"/>
      <c r="D1838" s="65"/>
      <c r="E1838" s="86"/>
      <c r="F1838" s="12"/>
      <c r="G1838" s="157"/>
      <c r="H1838" s="12"/>
      <c r="I1838" s="62"/>
      <c r="J1838" s="27"/>
      <c r="K1838" s="62"/>
      <c r="L1838" s="12"/>
      <c r="M1838" s="191"/>
      <c r="N1838" s="65"/>
    </row>
    <row r="1839" spans="1:14" x14ac:dyDescent="0.25">
      <c r="A1839" s="63" t="s">
        <v>404</v>
      </c>
      <c r="B1839" s="74" t="s">
        <v>510</v>
      </c>
      <c r="C1839" s="2">
        <v>4058075279278</v>
      </c>
      <c r="D1839" s="84"/>
      <c r="E1839" s="101"/>
      <c r="F1839" s="17"/>
      <c r="G1839" s="156" t="str">
        <f>HYPERLINK("https://ledvance.com/pt/product-datasheet/8395/116823","Ficha Técnica")</f>
        <v>Ficha Técnica</v>
      </c>
      <c r="H1839" s="15">
        <v>50</v>
      </c>
      <c r="I1839" s="163"/>
      <c r="J1839" s="15"/>
      <c r="K1839" s="163"/>
      <c r="L1839" s="15"/>
      <c r="M1839" s="188">
        <v>7.5</v>
      </c>
      <c r="N1839" s="169" t="s">
        <v>11</v>
      </c>
    </row>
    <row r="1840" spans="1:14" x14ac:dyDescent="0.25">
      <c r="A1840" s="63" t="s">
        <v>404</v>
      </c>
      <c r="B1840" s="74" t="s">
        <v>511</v>
      </c>
      <c r="C1840" s="2">
        <v>4058075401778</v>
      </c>
      <c r="D1840" s="84"/>
      <c r="E1840" s="101"/>
      <c r="F1840" s="17"/>
      <c r="G1840" s="156" t="str">
        <f>HYPERLINK("https://ledvance.com/pt/product-datasheet/8395/105595","Ficha Técnica")</f>
        <v>Ficha Técnica</v>
      </c>
      <c r="H1840" s="15">
        <v>25</v>
      </c>
      <c r="I1840" s="163"/>
      <c r="J1840" s="15"/>
      <c r="K1840" s="163"/>
      <c r="L1840" s="15"/>
      <c r="M1840" s="188">
        <v>15.4</v>
      </c>
      <c r="N1840" s="169" t="s">
        <v>11</v>
      </c>
    </row>
    <row r="1841" spans="1:14" x14ac:dyDescent="0.25">
      <c r="A1841" s="63" t="s">
        <v>404</v>
      </c>
      <c r="B1841" s="74" t="s">
        <v>512</v>
      </c>
      <c r="C1841" s="2">
        <v>4058075275867</v>
      </c>
      <c r="D1841" s="84"/>
      <c r="E1841" s="101"/>
      <c r="F1841" s="17"/>
      <c r="G1841" s="156" t="str">
        <f>HYPERLINK("https://ledvance.com/pt/product-datasheet/8395/116835","Ficha Técnica")</f>
        <v>Ficha Técnica</v>
      </c>
      <c r="H1841" s="15">
        <v>100</v>
      </c>
      <c r="I1841" s="163"/>
      <c r="J1841" s="15"/>
      <c r="K1841" s="163"/>
      <c r="L1841" s="15"/>
      <c r="M1841" s="188">
        <v>1.6</v>
      </c>
      <c r="N1841" s="169" t="s">
        <v>11</v>
      </c>
    </row>
    <row r="1842" spans="1:14" x14ac:dyDescent="0.25">
      <c r="A1842" s="63" t="s">
        <v>404</v>
      </c>
      <c r="B1842" s="74" t="s">
        <v>513</v>
      </c>
      <c r="C1842" s="2">
        <v>4058075276529</v>
      </c>
      <c r="D1842" s="84"/>
      <c r="E1842" s="101"/>
      <c r="F1842" s="17"/>
      <c r="G1842" s="156" t="str">
        <f>HYPERLINK("https://ledvance.com/pt/product-datasheet/8395/116839","Ficha Técnica")</f>
        <v>Ficha Técnica</v>
      </c>
      <c r="H1842" s="15">
        <v>100</v>
      </c>
      <c r="I1842" s="163"/>
      <c r="J1842" s="15"/>
      <c r="K1842" s="163"/>
      <c r="L1842" s="15"/>
      <c r="M1842" s="188">
        <v>1.6</v>
      </c>
      <c r="N1842" s="169" t="s">
        <v>11</v>
      </c>
    </row>
    <row r="1843" spans="1:14" x14ac:dyDescent="0.25">
      <c r="A1843" s="63" t="s">
        <v>404</v>
      </c>
      <c r="B1843" s="74" t="s">
        <v>514</v>
      </c>
      <c r="C1843" s="2">
        <v>4058075277007</v>
      </c>
      <c r="D1843" s="84"/>
      <c r="E1843" s="101"/>
      <c r="F1843" s="17"/>
      <c r="G1843" s="156" t="str">
        <f>HYPERLINK("https://ledvance.com/pt/product-datasheet/8395/116887","Ficha Técnica")</f>
        <v>Ficha Técnica</v>
      </c>
      <c r="H1843" s="15">
        <v>100</v>
      </c>
      <c r="I1843" s="163"/>
      <c r="J1843" s="15"/>
      <c r="K1843" s="163"/>
      <c r="L1843" s="15"/>
      <c r="M1843" s="188">
        <v>1.3</v>
      </c>
      <c r="N1843" s="169" t="s">
        <v>11</v>
      </c>
    </row>
    <row r="1844" spans="1:14" x14ac:dyDescent="0.25">
      <c r="A1844" s="63" t="s">
        <v>404</v>
      </c>
      <c r="B1844" s="74" t="s">
        <v>515</v>
      </c>
      <c r="C1844" s="2">
        <v>4058075278349</v>
      </c>
      <c r="D1844" s="84"/>
      <c r="E1844" s="101"/>
      <c r="F1844" s="17"/>
      <c r="G1844" s="156" t="str">
        <f>HYPERLINK("https://ledvance.com/pt/product-datasheet/8395/115473","Ficha Técnica")</f>
        <v>Ficha Técnica</v>
      </c>
      <c r="H1844" s="15">
        <v>50</v>
      </c>
      <c r="I1844" s="163"/>
      <c r="J1844" s="15"/>
      <c r="K1844" s="163"/>
      <c r="L1844" s="15"/>
      <c r="M1844" s="188">
        <v>8.5</v>
      </c>
      <c r="N1844" s="169" t="s">
        <v>11</v>
      </c>
    </row>
    <row r="1845" spans="1:14" x14ac:dyDescent="0.25">
      <c r="A1845" s="63" t="s">
        <v>404</v>
      </c>
      <c r="B1845" s="74" t="s">
        <v>516</v>
      </c>
      <c r="C1845" s="2">
        <v>4058075401686</v>
      </c>
      <c r="D1845" s="84"/>
      <c r="E1845" s="101"/>
      <c r="F1845" s="17"/>
      <c r="G1845" s="156" t="str">
        <f>HYPERLINK("https://ledvance.com/pt/product-datasheet/8395/105583","Ficha Técnica")</f>
        <v>Ficha Técnica</v>
      </c>
      <c r="H1845" s="15">
        <v>25</v>
      </c>
      <c r="I1845" s="163"/>
      <c r="J1845" s="15"/>
      <c r="K1845" s="163"/>
      <c r="L1845" s="15"/>
      <c r="M1845" s="188">
        <v>19.2</v>
      </c>
      <c r="N1845" s="169" t="s">
        <v>11</v>
      </c>
    </row>
    <row r="1846" spans="1:14" x14ac:dyDescent="0.25">
      <c r="A1846" s="63" t="s">
        <v>404</v>
      </c>
      <c r="B1846" s="74" t="s">
        <v>517</v>
      </c>
      <c r="C1846" s="2">
        <v>4058075277816</v>
      </c>
      <c r="D1846" s="84"/>
      <c r="E1846" s="101"/>
      <c r="F1846" s="17"/>
      <c r="G1846" s="156" t="str">
        <f>HYPERLINK("https://ledvance.com/pt/product-datasheet/8395/115477","Ficha Técnica")</f>
        <v>Ficha Técnica</v>
      </c>
      <c r="H1846" s="15">
        <v>100</v>
      </c>
      <c r="I1846" s="163"/>
      <c r="J1846" s="15"/>
      <c r="K1846" s="163"/>
      <c r="L1846" s="15"/>
      <c r="M1846" s="188">
        <v>1.6</v>
      </c>
      <c r="N1846" s="169" t="s">
        <v>11</v>
      </c>
    </row>
    <row r="1847" spans="1:14" x14ac:dyDescent="0.25">
      <c r="A1847" s="63" t="s">
        <v>404</v>
      </c>
      <c r="B1847" s="74" t="s">
        <v>518</v>
      </c>
      <c r="C1847" s="2">
        <v>4058075277847</v>
      </c>
      <c r="D1847" s="84"/>
      <c r="E1847" s="101"/>
      <c r="F1847" s="17"/>
      <c r="G1847" s="156" t="str">
        <f>HYPERLINK("https://ledvance.com/pt/product-datasheet/8395/115481","Ficha Técnica")</f>
        <v>Ficha Técnica</v>
      </c>
      <c r="H1847" s="15">
        <v>100</v>
      </c>
      <c r="I1847" s="163"/>
      <c r="J1847" s="15"/>
      <c r="K1847" s="163"/>
      <c r="L1847" s="15"/>
      <c r="M1847" s="188">
        <v>1.6</v>
      </c>
      <c r="N1847" s="169" t="s">
        <v>11</v>
      </c>
    </row>
    <row r="1848" spans="1:14" x14ac:dyDescent="0.25">
      <c r="A1848" s="63" t="s">
        <v>404</v>
      </c>
      <c r="B1848" s="74" t="s">
        <v>519</v>
      </c>
      <c r="C1848" s="2">
        <v>4058075276918</v>
      </c>
      <c r="D1848" s="84"/>
      <c r="E1848" s="101"/>
      <c r="F1848" s="17"/>
      <c r="G1848" s="156" t="str">
        <f>HYPERLINK("https://ledvance.com/pt/product-datasheet/8395/116875","Ficha Técnica")</f>
        <v>Ficha Técnica</v>
      </c>
      <c r="H1848" s="15">
        <v>100</v>
      </c>
      <c r="I1848" s="163"/>
      <c r="J1848" s="15"/>
      <c r="K1848" s="163"/>
      <c r="L1848" s="15"/>
      <c r="M1848" s="188">
        <v>1.6</v>
      </c>
      <c r="N1848" s="169" t="s">
        <v>11</v>
      </c>
    </row>
    <row r="1849" spans="1:14" x14ac:dyDescent="0.25">
      <c r="A1849" s="63" t="s">
        <v>404</v>
      </c>
      <c r="B1849" s="74" t="s">
        <v>520</v>
      </c>
      <c r="C1849" s="2">
        <v>4058075278370</v>
      </c>
      <c r="D1849" s="84"/>
      <c r="E1849" s="101"/>
      <c r="F1849" s="17"/>
      <c r="G1849" s="156" t="str">
        <f>HYPERLINK("https://ledvance.com/pt/product-datasheet/8395/115485","Ficha Técnica")</f>
        <v>Ficha Técnica</v>
      </c>
      <c r="H1849" s="15">
        <v>50</v>
      </c>
      <c r="I1849" s="163"/>
      <c r="J1849" s="15"/>
      <c r="K1849" s="163"/>
      <c r="L1849" s="15"/>
      <c r="M1849" s="188">
        <v>10.6</v>
      </c>
      <c r="N1849" s="169" t="s">
        <v>11</v>
      </c>
    </row>
    <row r="1850" spans="1:14" x14ac:dyDescent="0.25">
      <c r="A1850" s="63" t="s">
        <v>404</v>
      </c>
      <c r="B1850" s="74" t="s">
        <v>521</v>
      </c>
      <c r="C1850" s="2">
        <v>4058075401716</v>
      </c>
      <c r="D1850" s="84"/>
      <c r="E1850" s="101"/>
      <c r="F1850" s="17"/>
      <c r="G1850" s="156" t="str">
        <f>HYPERLINK("https://ledvance.com/pt/product-datasheet/8395/105587","Ficha Técnica")</f>
        <v>Ficha Técnica</v>
      </c>
      <c r="H1850" s="15">
        <v>25</v>
      </c>
      <c r="I1850" s="163"/>
      <c r="J1850" s="15"/>
      <c r="K1850" s="163"/>
      <c r="L1850" s="15"/>
      <c r="M1850" s="188">
        <v>22.4</v>
      </c>
      <c r="N1850" s="169" t="s">
        <v>11</v>
      </c>
    </row>
    <row r="1851" spans="1:14" x14ac:dyDescent="0.25">
      <c r="A1851" s="63" t="s">
        <v>404</v>
      </c>
      <c r="B1851" s="74" t="s">
        <v>522</v>
      </c>
      <c r="C1851" s="2">
        <v>4058075277878</v>
      </c>
      <c r="D1851" s="84"/>
      <c r="E1851" s="101"/>
      <c r="F1851" s="17"/>
      <c r="G1851" s="156" t="str">
        <f>HYPERLINK("https://ledvance.com/pt/product-datasheet/8395/115489","Ficha Técnica")</f>
        <v>Ficha Técnica</v>
      </c>
      <c r="H1851" s="15">
        <v>100</v>
      </c>
      <c r="I1851" s="163"/>
      <c r="J1851" s="15"/>
      <c r="K1851" s="163"/>
      <c r="L1851" s="15"/>
      <c r="M1851" s="188">
        <v>1.6</v>
      </c>
      <c r="N1851" s="169" t="s">
        <v>11</v>
      </c>
    </row>
    <row r="1852" spans="1:14" x14ac:dyDescent="0.25">
      <c r="A1852" s="63" t="s">
        <v>404</v>
      </c>
      <c r="B1852" s="74" t="s">
        <v>523</v>
      </c>
      <c r="C1852" s="2">
        <v>4058075277908</v>
      </c>
      <c r="D1852" s="84"/>
      <c r="E1852" s="101"/>
      <c r="F1852" s="17"/>
      <c r="G1852" s="156" t="str">
        <f>HYPERLINK("https://ledvance.com/pt/product-datasheet/8395/115493","Ficha Técnica")</f>
        <v>Ficha Técnica</v>
      </c>
      <c r="H1852" s="15">
        <v>100</v>
      </c>
      <c r="I1852" s="163"/>
      <c r="J1852" s="15"/>
      <c r="K1852" s="163"/>
      <c r="L1852" s="15"/>
      <c r="M1852" s="188">
        <v>1.6</v>
      </c>
      <c r="N1852" s="169" t="s">
        <v>11</v>
      </c>
    </row>
    <row r="1853" spans="1:14" x14ac:dyDescent="0.25">
      <c r="A1853" s="63" t="s">
        <v>404</v>
      </c>
      <c r="B1853" s="74" t="s">
        <v>524</v>
      </c>
      <c r="C1853" s="2">
        <v>4058075276949</v>
      </c>
      <c r="D1853" s="84"/>
      <c r="E1853" s="101"/>
      <c r="F1853" s="17"/>
      <c r="G1853" s="156" t="str">
        <f>HYPERLINK("https://ledvance.com/pt/product-datasheet/8395/116879","Ficha Técnica")</f>
        <v>Ficha Técnica</v>
      </c>
      <c r="H1853" s="15">
        <v>100</v>
      </c>
      <c r="I1853" s="163"/>
      <c r="J1853" s="15"/>
      <c r="K1853" s="163"/>
      <c r="L1853" s="15"/>
      <c r="M1853" s="188">
        <v>1.6</v>
      </c>
      <c r="N1853" s="169" t="s">
        <v>11</v>
      </c>
    </row>
    <row r="1854" spans="1:14" x14ac:dyDescent="0.25">
      <c r="A1854" s="63" t="s">
        <v>404</v>
      </c>
      <c r="B1854" s="74" t="s">
        <v>525</v>
      </c>
      <c r="C1854" s="2">
        <v>4058075279308</v>
      </c>
      <c r="D1854" s="84"/>
      <c r="E1854" s="101"/>
      <c r="F1854" s="17"/>
      <c r="G1854" s="156" t="str">
        <f>HYPERLINK("https://ledvance.com/pt/product-datasheet/8395/115497","Ficha Técnica")</f>
        <v>Ficha Técnica</v>
      </c>
      <c r="H1854" s="15">
        <v>50</v>
      </c>
      <c r="I1854" s="163"/>
      <c r="J1854" s="15"/>
      <c r="K1854" s="163"/>
      <c r="L1854" s="15"/>
      <c r="M1854" s="188">
        <v>9.3000000000000007</v>
      </c>
      <c r="N1854" s="169" t="s">
        <v>11</v>
      </c>
    </row>
    <row r="1855" spans="1:14" x14ac:dyDescent="0.25">
      <c r="A1855" s="63" t="s">
        <v>404</v>
      </c>
      <c r="B1855" s="74" t="s">
        <v>526</v>
      </c>
      <c r="C1855" s="2">
        <v>4058075401808</v>
      </c>
      <c r="D1855" s="84"/>
      <c r="E1855" s="101"/>
      <c r="F1855" s="17"/>
      <c r="G1855" s="156" t="str">
        <f>HYPERLINK("https://ledvance.com/pt/product-datasheet/8395/105599","Ficha Técnica")</f>
        <v>Ficha Técnica</v>
      </c>
      <c r="H1855" s="15">
        <v>25</v>
      </c>
      <c r="I1855" s="163"/>
      <c r="J1855" s="15"/>
      <c r="K1855" s="163"/>
      <c r="L1855" s="15"/>
      <c r="M1855" s="188">
        <v>19.2</v>
      </c>
      <c r="N1855" s="169" t="s">
        <v>11</v>
      </c>
    </row>
    <row r="1856" spans="1:14" x14ac:dyDescent="0.25">
      <c r="A1856" s="63" t="s">
        <v>404</v>
      </c>
      <c r="B1856" s="74" t="s">
        <v>527</v>
      </c>
      <c r="C1856" s="2">
        <v>4058075276550</v>
      </c>
      <c r="D1856" s="84"/>
      <c r="E1856" s="101"/>
      <c r="F1856" s="17"/>
      <c r="G1856" s="156" t="str">
        <f>HYPERLINK("https://ledvance.com/pt/product-datasheet/8395/115505","Ficha Técnica")</f>
        <v>Ficha Técnica</v>
      </c>
      <c r="H1856" s="15">
        <v>100</v>
      </c>
      <c r="I1856" s="163"/>
      <c r="J1856" s="15"/>
      <c r="K1856" s="163"/>
      <c r="L1856" s="15"/>
      <c r="M1856" s="188">
        <v>1.6</v>
      </c>
      <c r="N1856" s="169" t="s">
        <v>11</v>
      </c>
    </row>
    <row r="1857" spans="1:14" x14ac:dyDescent="0.25">
      <c r="A1857" s="63" t="s">
        <v>404</v>
      </c>
      <c r="B1857" s="74" t="s">
        <v>528</v>
      </c>
      <c r="C1857" s="2">
        <v>4058075276581</v>
      </c>
      <c r="D1857" s="84"/>
      <c r="E1857" s="101"/>
      <c r="F1857" s="17"/>
      <c r="G1857" s="156" t="str">
        <f>HYPERLINK("https://ledvance.com/pt/product-datasheet/8395/115509","Ficha Técnica")</f>
        <v>Ficha Técnica</v>
      </c>
      <c r="H1857" s="15">
        <v>100</v>
      </c>
      <c r="I1857" s="163"/>
      <c r="J1857" s="15"/>
      <c r="K1857" s="163"/>
      <c r="L1857" s="15"/>
      <c r="M1857" s="188">
        <v>1.6</v>
      </c>
      <c r="N1857" s="169" t="s">
        <v>11</v>
      </c>
    </row>
    <row r="1858" spans="1:14" x14ac:dyDescent="0.25">
      <c r="A1858" s="63" t="s">
        <v>404</v>
      </c>
      <c r="B1858" s="74" t="s">
        <v>529</v>
      </c>
      <c r="C1858" s="2">
        <v>4058075277038</v>
      </c>
      <c r="D1858" s="84"/>
      <c r="E1858" s="101"/>
      <c r="F1858" s="17"/>
      <c r="G1858" s="156" t="str">
        <f>HYPERLINK("https://ledvance.com/pt/product-datasheet/8395/116891","Ficha Técnica")</f>
        <v>Ficha Técnica</v>
      </c>
      <c r="H1858" s="15">
        <v>100</v>
      </c>
      <c r="I1858" s="163"/>
      <c r="J1858" s="15"/>
      <c r="K1858" s="163"/>
      <c r="L1858" s="15"/>
      <c r="M1858" s="188">
        <v>1.3</v>
      </c>
      <c r="N1858" s="169" t="s">
        <v>11</v>
      </c>
    </row>
    <row r="1859" spans="1:14" x14ac:dyDescent="0.25">
      <c r="A1859" s="66" t="s">
        <v>322</v>
      </c>
      <c r="B1859" s="79" t="s">
        <v>1462</v>
      </c>
      <c r="C1859" s="52"/>
      <c r="D1859" s="122"/>
      <c r="E1859" s="123"/>
      <c r="F1859" s="12"/>
      <c r="G1859" s="157"/>
      <c r="H1859" s="49"/>
      <c r="I1859" s="165"/>
      <c r="J1859" s="49"/>
      <c r="K1859" s="165"/>
      <c r="L1859" s="49"/>
      <c r="M1859" s="191"/>
      <c r="N1859" s="65"/>
    </row>
    <row r="1860" spans="1:14" x14ac:dyDescent="0.25">
      <c r="A1860" s="63" t="s">
        <v>322</v>
      </c>
      <c r="B1860" s="74" t="s">
        <v>1565</v>
      </c>
      <c r="C1860" s="2">
        <v>4058075844667</v>
      </c>
      <c r="D1860" s="84"/>
      <c r="E1860" s="101"/>
      <c r="F1860" s="17"/>
      <c r="G1860" s="156" t="str">
        <f>HYPERLINK("https://ledvance.com/pt/product-datasheet/316587/309787","Ficha Técnica")</f>
        <v>Ficha Técnica</v>
      </c>
      <c r="H1860" s="15">
        <v>2</v>
      </c>
      <c r="I1860" s="163">
        <v>58500</v>
      </c>
      <c r="J1860" s="15">
        <v>550</v>
      </c>
      <c r="K1860" s="163" t="s">
        <v>249</v>
      </c>
      <c r="L1860" s="15">
        <v>5</v>
      </c>
      <c r="M1860" s="188">
        <v>639</v>
      </c>
      <c r="N1860" s="169" t="s">
        <v>11</v>
      </c>
    </row>
    <row r="1861" spans="1:14" x14ac:dyDescent="0.25">
      <c r="A1861" s="63" t="s">
        <v>322</v>
      </c>
      <c r="B1861" s="74" t="s">
        <v>1566</v>
      </c>
      <c r="C1861" s="2">
        <v>4058075844681</v>
      </c>
      <c r="D1861" s="84"/>
      <c r="E1861" s="101"/>
      <c r="F1861" s="17"/>
      <c r="G1861" s="156" t="str">
        <f>HYPERLINK("https://ledvance.com/pt/product-datasheet/316587/309790","Ficha Técnica")</f>
        <v>Ficha Técnica</v>
      </c>
      <c r="H1861" s="15">
        <v>2</v>
      </c>
      <c r="I1861" s="163">
        <v>60300</v>
      </c>
      <c r="J1861" s="15">
        <v>550</v>
      </c>
      <c r="K1861" s="163" t="s">
        <v>249</v>
      </c>
      <c r="L1861" s="15">
        <v>5</v>
      </c>
      <c r="M1861" s="188">
        <v>639</v>
      </c>
      <c r="N1861" s="169" t="s">
        <v>11</v>
      </c>
    </row>
    <row r="1862" spans="1:14" x14ac:dyDescent="0.25">
      <c r="A1862" s="63" t="s">
        <v>322</v>
      </c>
      <c r="B1862" s="74" t="s">
        <v>1567</v>
      </c>
      <c r="C1862" s="2">
        <v>4058075844704</v>
      </c>
      <c r="D1862" s="84"/>
      <c r="E1862" s="101"/>
      <c r="F1862" s="17"/>
      <c r="G1862" s="156" t="str">
        <f>HYPERLINK("https://ledvance.com/pt/product-datasheet/316587/309793","Ficha Técnica")</f>
        <v>Ficha Técnica</v>
      </c>
      <c r="H1862" s="15">
        <v>2</v>
      </c>
      <c r="I1862" s="163">
        <v>60300</v>
      </c>
      <c r="J1862" s="15">
        <v>550</v>
      </c>
      <c r="K1862" s="163" t="s">
        <v>249</v>
      </c>
      <c r="L1862" s="15">
        <v>5</v>
      </c>
      <c r="M1862" s="188">
        <v>639</v>
      </c>
      <c r="N1862" s="169" t="s">
        <v>11</v>
      </c>
    </row>
    <row r="1863" spans="1:14" x14ac:dyDescent="0.25">
      <c r="A1863" s="66" t="s">
        <v>404</v>
      </c>
      <c r="B1863" s="79" t="s">
        <v>2116</v>
      </c>
      <c r="C1863" s="51"/>
      <c r="D1863" s="65"/>
      <c r="E1863" s="86"/>
      <c r="F1863" s="12"/>
      <c r="G1863" s="157"/>
      <c r="H1863" s="12"/>
      <c r="I1863" s="62"/>
      <c r="J1863" s="27"/>
      <c r="K1863" s="62"/>
      <c r="L1863" s="12"/>
      <c r="M1863" s="191"/>
      <c r="N1863" s="65"/>
    </row>
    <row r="1864" spans="1:14" x14ac:dyDescent="0.25">
      <c r="A1864" s="63" t="s">
        <v>404</v>
      </c>
      <c r="B1864" s="74" t="s">
        <v>1568</v>
      </c>
      <c r="C1864" s="2">
        <v>4058075844742</v>
      </c>
      <c r="D1864" s="84"/>
      <c r="E1864" s="101"/>
      <c r="F1864" s="17"/>
      <c r="G1864" s="156" t="str">
        <f>HYPERLINK("https://ledvance.com/pt/product-datasheet/326385/309799","Ficha Técnica")</f>
        <v>Ficha Técnica</v>
      </c>
      <c r="H1864" s="15">
        <v>50</v>
      </c>
      <c r="I1864" s="163"/>
      <c r="J1864" s="15"/>
      <c r="K1864" s="163"/>
      <c r="L1864" s="15">
        <v>5</v>
      </c>
      <c r="M1864" s="188">
        <v>6.9</v>
      </c>
      <c r="N1864" s="169" t="s">
        <v>11</v>
      </c>
    </row>
    <row r="1865" spans="1:14" x14ac:dyDescent="0.25">
      <c r="A1865" s="63" t="s">
        <v>404</v>
      </c>
      <c r="B1865" s="74" t="s">
        <v>1463</v>
      </c>
      <c r="C1865" s="2">
        <v>4058075844766</v>
      </c>
      <c r="D1865" s="84"/>
      <c r="E1865" s="101"/>
      <c r="F1865" s="17"/>
      <c r="G1865" s="156" t="str">
        <f>HYPERLINK("https://ledvance.com/pt/product-datasheet/326387/309802","Ficha Técnica")</f>
        <v>Ficha Técnica</v>
      </c>
      <c r="H1865" s="15">
        <v>50</v>
      </c>
      <c r="I1865" s="163"/>
      <c r="J1865" s="15"/>
      <c r="K1865" s="163"/>
      <c r="L1865" s="15">
        <v>5</v>
      </c>
      <c r="M1865" s="188">
        <v>7.2</v>
      </c>
      <c r="N1865" s="169" t="s">
        <v>11</v>
      </c>
    </row>
    <row r="1866" spans="1:14" x14ac:dyDescent="0.25">
      <c r="A1866" s="63" t="s">
        <v>404</v>
      </c>
      <c r="B1866" s="74" t="s">
        <v>1569</v>
      </c>
      <c r="C1866" s="2">
        <v>4058075844780</v>
      </c>
      <c r="D1866" s="84"/>
      <c r="E1866" s="101"/>
      <c r="F1866" s="17"/>
      <c r="G1866" s="156" t="str">
        <f>HYPERLINK("https://ledvance.com/pt/product-datasheet/326386/309805","Ficha Técnica")</f>
        <v>Ficha Técnica</v>
      </c>
      <c r="H1866" s="15">
        <v>50</v>
      </c>
      <c r="I1866" s="163"/>
      <c r="J1866" s="15"/>
      <c r="K1866" s="163"/>
      <c r="L1866" s="15">
        <v>5</v>
      </c>
      <c r="M1866" s="188">
        <v>8.3000000000000007</v>
      </c>
      <c r="N1866" s="169" t="s">
        <v>11</v>
      </c>
    </row>
    <row r="1867" spans="1:14" x14ac:dyDescent="0.25">
      <c r="A1867" s="63" t="s">
        <v>404</v>
      </c>
      <c r="B1867" s="74" t="s">
        <v>1996</v>
      </c>
      <c r="C1867" s="2">
        <v>4058075844803</v>
      </c>
      <c r="D1867" s="84"/>
      <c r="E1867" s="101"/>
      <c r="F1867" s="17"/>
      <c r="G1867" s="156" t="str">
        <f>HYPERLINK("https://ledvance.com/pt/product-datasheet/326388/309808","Ficha Técnica")</f>
        <v>Ficha Técnica</v>
      </c>
      <c r="H1867" s="15">
        <v>50</v>
      </c>
      <c r="I1867" s="163"/>
      <c r="J1867" s="15"/>
      <c r="K1867" s="163" t="s">
        <v>38</v>
      </c>
      <c r="L1867" s="15">
        <v>5</v>
      </c>
      <c r="M1867" s="188">
        <v>8.5</v>
      </c>
      <c r="N1867" s="169" t="s">
        <v>11</v>
      </c>
    </row>
    <row r="1868" spans="1:14" x14ac:dyDescent="0.25">
      <c r="A1868" s="63" t="s">
        <v>404</v>
      </c>
      <c r="B1868" s="74" t="s">
        <v>1464</v>
      </c>
      <c r="C1868" s="2">
        <v>4058075844841</v>
      </c>
      <c r="D1868" s="84"/>
      <c r="E1868" s="101"/>
      <c r="F1868" s="17"/>
      <c r="G1868" s="156" t="str">
        <f>HYPERLINK("https://ledvance.com/pt/product-datasheet/316596/309814","Ficha Técnica")</f>
        <v>Ficha Técnica</v>
      </c>
      <c r="H1868" s="15">
        <v>50</v>
      </c>
      <c r="I1868" s="163"/>
      <c r="J1868" s="15"/>
      <c r="K1868" s="163"/>
      <c r="L1868" s="15">
        <v>5</v>
      </c>
      <c r="M1868" s="188">
        <v>4.8</v>
      </c>
      <c r="N1868" s="169" t="s">
        <v>11</v>
      </c>
    </row>
    <row r="1869" spans="1:14" x14ac:dyDescent="0.25">
      <c r="A1869" s="63" t="s">
        <v>103</v>
      </c>
      <c r="B1869" s="74" t="s">
        <v>3444</v>
      </c>
      <c r="C1869" s="2">
        <v>4058075844728</v>
      </c>
      <c r="D1869" s="84"/>
      <c r="E1869" s="101"/>
      <c r="F1869" s="17"/>
      <c r="G1869" s="156" t="str">
        <f>HYPERLINK("https://ledvance.com/pt/product-datasheet/316592/309796","Ficha Técnica")</f>
        <v>Ficha Técnica</v>
      </c>
      <c r="H1869" s="15">
        <v>10</v>
      </c>
      <c r="I1869" s="163"/>
      <c r="J1869" s="15">
        <v>500</v>
      </c>
      <c r="K1869" s="163" t="s">
        <v>249</v>
      </c>
      <c r="L1869" s="15">
        <v>5</v>
      </c>
      <c r="M1869" s="188">
        <v>74.3</v>
      </c>
      <c r="N1869" s="169" t="s">
        <v>11</v>
      </c>
    </row>
    <row r="1870" spans="1:14" x14ac:dyDescent="0.25">
      <c r="A1870" s="66" t="s">
        <v>103</v>
      </c>
      <c r="B1870" s="79" t="s">
        <v>2187</v>
      </c>
      <c r="C1870" s="51"/>
      <c r="D1870" s="65"/>
      <c r="E1870" s="86"/>
      <c r="F1870" s="12"/>
      <c r="G1870" s="157"/>
      <c r="H1870" s="49"/>
      <c r="I1870" s="165"/>
      <c r="J1870" s="49"/>
      <c r="K1870" s="165"/>
      <c r="L1870" s="49"/>
      <c r="M1870" s="191"/>
      <c r="N1870" s="65"/>
    </row>
    <row r="1871" spans="1:14" x14ac:dyDescent="0.25">
      <c r="A1871" s="63" t="s">
        <v>103</v>
      </c>
      <c r="B1871" s="74" t="s">
        <v>530</v>
      </c>
      <c r="C1871" s="2">
        <v>4058075421820</v>
      </c>
      <c r="D1871" s="84"/>
      <c r="E1871" s="101"/>
      <c r="F1871" s="17"/>
      <c r="G1871" s="156" t="str">
        <f>HYPERLINK("https://ledvance.com/pt/product-datasheet/7658/109071","Ficha Técnica")</f>
        <v>Ficha Técnica</v>
      </c>
      <c r="H1871" s="15">
        <v>10</v>
      </c>
      <c r="I1871" s="163"/>
      <c r="J1871" s="15">
        <v>45</v>
      </c>
      <c r="K1871" s="163" t="s">
        <v>46</v>
      </c>
      <c r="L1871" s="15">
        <v>5</v>
      </c>
      <c r="M1871" s="188">
        <v>53.9</v>
      </c>
      <c r="N1871" s="169" t="s">
        <v>11</v>
      </c>
    </row>
    <row r="1872" spans="1:14" x14ac:dyDescent="0.25">
      <c r="A1872" s="63" t="s">
        <v>103</v>
      </c>
      <c r="B1872" s="74" t="s">
        <v>531</v>
      </c>
      <c r="C1872" s="2">
        <v>4058075421844</v>
      </c>
      <c r="D1872" s="84"/>
      <c r="E1872" s="101"/>
      <c r="F1872" s="17"/>
      <c r="G1872" s="156" t="str">
        <f>HYPERLINK("https://ledvance.com/pt/product-datasheet/7658/109077","Ficha Técnica")</f>
        <v>Ficha Técnica</v>
      </c>
      <c r="H1872" s="15">
        <v>10</v>
      </c>
      <c r="I1872" s="163"/>
      <c r="J1872" s="15">
        <v>80</v>
      </c>
      <c r="K1872" s="163" t="s">
        <v>46</v>
      </c>
      <c r="L1872" s="15">
        <v>5</v>
      </c>
      <c r="M1872" s="188">
        <v>62.4</v>
      </c>
      <c r="N1872" s="169" t="s">
        <v>11</v>
      </c>
    </row>
    <row r="1873" spans="1:14" x14ac:dyDescent="0.25">
      <c r="A1873" s="63" t="s">
        <v>103</v>
      </c>
      <c r="B1873" s="74" t="s">
        <v>532</v>
      </c>
      <c r="C1873" s="2">
        <v>4058075421868</v>
      </c>
      <c r="D1873" s="84"/>
      <c r="E1873" s="101"/>
      <c r="F1873" s="17"/>
      <c r="G1873" s="156" t="str">
        <f>HYPERLINK("https://ledvance.com/pt/product-datasheet/7658/109083","Ficha Técnica")</f>
        <v>Ficha Técnica</v>
      </c>
      <c r="H1873" s="15">
        <v>10</v>
      </c>
      <c r="I1873" s="163"/>
      <c r="J1873" s="15">
        <v>150</v>
      </c>
      <c r="K1873" s="163" t="s">
        <v>46</v>
      </c>
      <c r="L1873" s="15">
        <v>5</v>
      </c>
      <c r="M1873" s="188">
        <v>120.2</v>
      </c>
      <c r="N1873" s="169" t="s">
        <v>11</v>
      </c>
    </row>
    <row r="1874" spans="1:14" x14ac:dyDescent="0.25">
      <c r="A1874" s="66" t="s">
        <v>103</v>
      </c>
      <c r="B1874" s="79" t="s">
        <v>2188</v>
      </c>
      <c r="C1874" s="51"/>
      <c r="D1874" s="65"/>
      <c r="E1874" s="86"/>
      <c r="F1874" s="12"/>
      <c r="G1874" s="157"/>
      <c r="H1874" s="49"/>
      <c r="I1874" s="165"/>
      <c r="J1874" s="49"/>
      <c r="K1874" s="165"/>
      <c r="L1874" s="49"/>
      <c r="M1874" s="191"/>
      <c r="N1874" s="65"/>
    </row>
    <row r="1875" spans="1:14" x14ac:dyDescent="0.25">
      <c r="A1875" s="63" t="s">
        <v>103</v>
      </c>
      <c r="B1875" s="74" t="s">
        <v>533</v>
      </c>
      <c r="C1875" s="2">
        <v>4058075437784</v>
      </c>
      <c r="D1875" s="84"/>
      <c r="E1875" s="101"/>
      <c r="F1875" s="17"/>
      <c r="G1875" s="156" t="str">
        <f>HYPERLINK("https://ledvance.com/pt/product-datasheet/7675/95579","Ficha Técnica")</f>
        <v>Ficha Técnica</v>
      </c>
      <c r="H1875" s="15">
        <v>10</v>
      </c>
      <c r="I1875" s="163"/>
      <c r="J1875" s="15">
        <v>30</v>
      </c>
      <c r="K1875" s="163" t="s">
        <v>46</v>
      </c>
      <c r="L1875" s="15">
        <v>5</v>
      </c>
      <c r="M1875" s="188">
        <v>23.5</v>
      </c>
      <c r="N1875" s="169" t="s">
        <v>11</v>
      </c>
    </row>
    <row r="1876" spans="1:14" x14ac:dyDescent="0.25">
      <c r="A1876" s="63" t="s">
        <v>103</v>
      </c>
      <c r="B1876" s="74" t="s">
        <v>534</v>
      </c>
      <c r="C1876" s="2">
        <v>4058075437807</v>
      </c>
      <c r="D1876" s="84"/>
      <c r="E1876" s="101"/>
      <c r="F1876" s="17"/>
      <c r="G1876" s="156" t="str">
        <f>HYPERLINK("https://ledvance.com/pt/product-datasheet/7675/95582","Ficha Técnica")</f>
        <v>Ficha Técnica</v>
      </c>
      <c r="H1876" s="15">
        <v>10</v>
      </c>
      <c r="I1876" s="163"/>
      <c r="J1876" s="15">
        <v>60</v>
      </c>
      <c r="K1876" s="163" t="s">
        <v>46</v>
      </c>
      <c r="L1876" s="15">
        <v>5</v>
      </c>
      <c r="M1876" s="188">
        <v>28.5</v>
      </c>
      <c r="N1876" s="169" t="s">
        <v>11</v>
      </c>
    </row>
    <row r="1877" spans="1:14" x14ac:dyDescent="0.25">
      <c r="A1877" s="63" t="s">
        <v>103</v>
      </c>
      <c r="B1877" s="74" t="s">
        <v>535</v>
      </c>
      <c r="C1877" s="2">
        <v>4058075437821</v>
      </c>
      <c r="D1877" s="84"/>
      <c r="E1877" s="101"/>
      <c r="F1877" s="17"/>
      <c r="G1877" s="156" t="str">
        <f>HYPERLINK("https://ledvance.com/pt/product-datasheet/7675/95585","Ficha Técnica")</f>
        <v>Ficha Técnica</v>
      </c>
      <c r="H1877" s="15">
        <v>10</v>
      </c>
      <c r="I1877" s="163"/>
      <c r="J1877" s="15">
        <v>100</v>
      </c>
      <c r="K1877" s="163" t="s">
        <v>46</v>
      </c>
      <c r="L1877" s="15">
        <v>5</v>
      </c>
      <c r="M1877" s="188">
        <v>36.799999999999997</v>
      </c>
      <c r="N1877" s="169" t="s">
        <v>11</v>
      </c>
    </row>
    <row r="1878" spans="1:14" x14ac:dyDescent="0.25">
      <c r="A1878" s="63" t="s">
        <v>103</v>
      </c>
      <c r="B1878" s="74" t="s">
        <v>536</v>
      </c>
      <c r="C1878" s="2">
        <v>4058075437845</v>
      </c>
      <c r="D1878" s="84"/>
      <c r="E1878" s="101"/>
      <c r="F1878" s="17"/>
      <c r="G1878" s="156" t="str">
        <f>HYPERLINK("https://ledvance.com/pt/product-datasheet/7675/95588","Ficha Técnica")</f>
        <v>Ficha Técnica</v>
      </c>
      <c r="H1878" s="15">
        <v>10</v>
      </c>
      <c r="I1878" s="163"/>
      <c r="J1878" s="15">
        <v>200</v>
      </c>
      <c r="K1878" s="163" t="s">
        <v>46</v>
      </c>
      <c r="L1878" s="15">
        <v>5</v>
      </c>
      <c r="M1878" s="188">
        <v>61.3</v>
      </c>
      <c r="N1878" s="169" t="s">
        <v>11</v>
      </c>
    </row>
    <row r="1879" spans="1:14" x14ac:dyDescent="0.25">
      <c r="A1879" s="66" t="s">
        <v>103</v>
      </c>
      <c r="B1879" s="79" t="s">
        <v>2189</v>
      </c>
      <c r="C1879" s="51"/>
      <c r="D1879" s="65"/>
      <c r="E1879" s="86"/>
      <c r="F1879" s="12"/>
      <c r="G1879" s="157"/>
      <c r="H1879" s="49"/>
      <c r="I1879" s="165"/>
      <c r="J1879" s="49"/>
      <c r="K1879" s="165"/>
      <c r="L1879" s="49"/>
      <c r="M1879" s="191"/>
      <c r="N1879" s="65"/>
    </row>
    <row r="1880" spans="1:14" x14ac:dyDescent="0.25">
      <c r="A1880" s="63" t="s">
        <v>103</v>
      </c>
      <c r="B1880" s="74" t="s">
        <v>537</v>
      </c>
      <c r="C1880" s="2">
        <v>4058075239951</v>
      </c>
      <c r="D1880" s="84"/>
      <c r="E1880" s="101"/>
      <c r="F1880" s="15"/>
      <c r="G1880" s="156" t="str">
        <f>HYPERLINK("https://ledvance.com/pt/product-datasheet/7713/113893","Ficha Técnica")</f>
        <v>Ficha Técnica</v>
      </c>
      <c r="H1880" s="15">
        <v>10</v>
      </c>
      <c r="I1880" s="163"/>
      <c r="J1880" s="15">
        <v>20</v>
      </c>
      <c r="K1880" s="163" t="s">
        <v>249</v>
      </c>
      <c r="L1880" s="15">
        <v>5</v>
      </c>
      <c r="M1880" s="188">
        <v>37.1</v>
      </c>
      <c r="N1880" s="169" t="s">
        <v>11</v>
      </c>
    </row>
    <row r="1881" spans="1:14" x14ac:dyDescent="0.25">
      <c r="A1881" s="63" t="s">
        <v>103</v>
      </c>
      <c r="B1881" s="74" t="s">
        <v>538</v>
      </c>
      <c r="C1881" s="2">
        <v>4058075379176</v>
      </c>
      <c r="D1881" s="84"/>
      <c r="E1881" s="101"/>
      <c r="F1881" s="15"/>
      <c r="G1881" s="156" t="str">
        <f>HYPERLINK("https://ledvance.com/pt/product-datasheet/7713/113899","Ficha Técnica")</f>
        <v>Ficha Técnica</v>
      </c>
      <c r="H1881" s="15">
        <v>10</v>
      </c>
      <c r="I1881" s="163"/>
      <c r="J1881" s="15">
        <v>40</v>
      </c>
      <c r="K1881" s="163" t="s">
        <v>249</v>
      </c>
      <c r="L1881" s="15">
        <v>5</v>
      </c>
      <c r="M1881" s="188">
        <v>38.799999999999997</v>
      </c>
      <c r="N1881" s="169" t="s">
        <v>11</v>
      </c>
    </row>
    <row r="1882" spans="1:14" x14ac:dyDescent="0.25">
      <c r="A1882" s="63" t="s">
        <v>103</v>
      </c>
      <c r="B1882" s="74" t="s">
        <v>539</v>
      </c>
      <c r="C1882" s="2">
        <v>4058075379190</v>
      </c>
      <c r="D1882" s="84"/>
      <c r="E1882" s="101"/>
      <c r="F1882" s="17"/>
      <c r="G1882" s="156" t="str">
        <f>HYPERLINK("https://ledvance.com/pt/product-datasheet/7713/33069","Ficha Técnica")</f>
        <v>Ficha Técnica</v>
      </c>
      <c r="H1882" s="15">
        <v>10</v>
      </c>
      <c r="I1882" s="163"/>
      <c r="J1882" s="15">
        <v>60</v>
      </c>
      <c r="K1882" s="163" t="s">
        <v>249</v>
      </c>
      <c r="L1882" s="15">
        <v>5</v>
      </c>
      <c r="M1882" s="188">
        <v>56.9</v>
      </c>
      <c r="N1882" s="169" t="s">
        <v>11</v>
      </c>
    </row>
    <row r="1883" spans="1:14" x14ac:dyDescent="0.25">
      <c r="A1883" s="63" t="s">
        <v>103</v>
      </c>
      <c r="B1883" s="74" t="s">
        <v>540</v>
      </c>
      <c r="C1883" s="2">
        <v>4058075240070</v>
      </c>
      <c r="D1883" s="84"/>
      <c r="E1883" s="101"/>
      <c r="F1883" s="17"/>
      <c r="G1883" s="156" t="str">
        <f>HYPERLINK("https://ledvance.com/pt/product-datasheet/7713/113905","Ficha Técnica")</f>
        <v>Ficha Técnica</v>
      </c>
      <c r="H1883" s="15">
        <v>10</v>
      </c>
      <c r="I1883" s="163"/>
      <c r="J1883" s="15">
        <v>100</v>
      </c>
      <c r="K1883" s="163" t="s">
        <v>249</v>
      </c>
      <c r="L1883" s="15">
        <v>5</v>
      </c>
      <c r="M1883" s="188">
        <v>61.2</v>
      </c>
      <c r="N1883" s="169" t="s">
        <v>11</v>
      </c>
    </row>
    <row r="1884" spans="1:14" x14ac:dyDescent="0.25">
      <c r="A1884" s="63" t="s">
        <v>103</v>
      </c>
      <c r="B1884" s="74" t="s">
        <v>541</v>
      </c>
      <c r="C1884" s="2">
        <v>4058075240117</v>
      </c>
      <c r="D1884" s="84"/>
      <c r="E1884" s="101"/>
      <c r="F1884" s="17"/>
      <c r="G1884" s="156" t="str">
        <f>HYPERLINK("https://ledvance.com/pt/product-datasheet/7713/113908","Ficha Técnica")</f>
        <v>Ficha Técnica</v>
      </c>
      <c r="H1884" s="15">
        <v>10</v>
      </c>
      <c r="I1884" s="163"/>
      <c r="J1884" s="15">
        <v>150</v>
      </c>
      <c r="K1884" s="163" t="s">
        <v>249</v>
      </c>
      <c r="L1884" s="15">
        <v>5</v>
      </c>
      <c r="M1884" s="188">
        <v>63.8</v>
      </c>
      <c r="N1884" s="169" t="s">
        <v>11</v>
      </c>
    </row>
    <row r="1885" spans="1:14" x14ac:dyDescent="0.25">
      <c r="A1885" s="63" t="s">
        <v>103</v>
      </c>
      <c r="B1885" s="74" t="s">
        <v>542</v>
      </c>
      <c r="C1885" s="2">
        <v>4058075240155</v>
      </c>
      <c r="D1885" s="84"/>
      <c r="E1885" s="101"/>
      <c r="F1885" s="17"/>
      <c r="G1885" s="156" t="str">
        <f>HYPERLINK("https://ledvance.com/pt/product-datasheet/7713/113911","Ficha Técnica")</f>
        <v>Ficha Técnica</v>
      </c>
      <c r="H1885" s="15">
        <v>10</v>
      </c>
      <c r="I1885" s="163"/>
      <c r="J1885" s="15">
        <v>250</v>
      </c>
      <c r="K1885" s="163" t="s">
        <v>249</v>
      </c>
      <c r="L1885" s="15">
        <v>5</v>
      </c>
      <c r="M1885" s="188">
        <v>123.9</v>
      </c>
      <c r="N1885" s="169" t="s">
        <v>11</v>
      </c>
    </row>
    <row r="1886" spans="1:14" x14ac:dyDescent="0.25">
      <c r="A1886" s="66" t="s">
        <v>103</v>
      </c>
      <c r="B1886" s="79" t="s">
        <v>2190</v>
      </c>
      <c r="C1886" s="51"/>
      <c r="D1886" s="65"/>
      <c r="E1886" s="86"/>
      <c r="F1886" s="12"/>
      <c r="G1886" s="157"/>
      <c r="H1886" s="49"/>
      <c r="I1886" s="165"/>
      <c r="J1886" s="49"/>
      <c r="K1886" s="165"/>
      <c r="L1886" s="49"/>
      <c r="M1886" s="191"/>
      <c r="N1886" s="65"/>
    </row>
    <row r="1887" spans="1:14" x14ac:dyDescent="0.25">
      <c r="A1887" s="63" t="s">
        <v>103</v>
      </c>
      <c r="B1887" s="74" t="s">
        <v>543</v>
      </c>
      <c r="C1887" s="2">
        <v>4058075239890</v>
      </c>
      <c r="D1887" s="84"/>
      <c r="E1887" s="101"/>
      <c r="F1887" s="17"/>
      <c r="G1887" s="156" t="str">
        <f>HYPERLINK("https://ledvance.com/pt/product-datasheet/7708/113860","Ficha Técnica")</f>
        <v>Ficha Técnica</v>
      </c>
      <c r="H1887" s="15">
        <v>10</v>
      </c>
      <c r="I1887" s="163"/>
      <c r="J1887" s="15">
        <v>30</v>
      </c>
      <c r="K1887" s="163" t="s">
        <v>249</v>
      </c>
      <c r="L1887" s="15">
        <v>5</v>
      </c>
      <c r="M1887" s="188">
        <v>24.4</v>
      </c>
      <c r="N1887" s="169" t="s">
        <v>11</v>
      </c>
    </row>
    <row r="1888" spans="1:14" x14ac:dyDescent="0.25">
      <c r="A1888" s="63" t="s">
        <v>103</v>
      </c>
      <c r="B1888" s="74" t="s">
        <v>544</v>
      </c>
      <c r="C1888" s="2">
        <v>4058075239913</v>
      </c>
      <c r="D1888" s="84"/>
      <c r="E1888" s="101"/>
      <c r="F1888" s="17"/>
      <c r="G1888" s="156" t="str">
        <f>HYPERLINK("https://ledvance.com/pt/product-datasheet/7708/113863","Ficha Técnica")</f>
        <v>Ficha Técnica</v>
      </c>
      <c r="H1888" s="15">
        <v>10</v>
      </c>
      <c r="I1888" s="163"/>
      <c r="J1888" s="15">
        <v>60</v>
      </c>
      <c r="K1888" s="163" t="s">
        <v>249</v>
      </c>
      <c r="L1888" s="15">
        <v>5</v>
      </c>
      <c r="M1888" s="188">
        <v>35.5</v>
      </c>
      <c r="N1888" s="169" t="s">
        <v>11</v>
      </c>
    </row>
    <row r="1889" spans="1:14" x14ac:dyDescent="0.25">
      <c r="A1889" s="63" t="s">
        <v>103</v>
      </c>
      <c r="B1889" s="74" t="s">
        <v>545</v>
      </c>
      <c r="C1889" s="2">
        <v>4058075239937</v>
      </c>
      <c r="D1889" s="84"/>
      <c r="E1889" s="101"/>
      <c r="F1889" s="17"/>
      <c r="G1889" s="156" t="str">
        <f>HYPERLINK("https://ledvance.com/pt/product-datasheet/7708/113866","Ficha Técnica")</f>
        <v>Ficha Técnica</v>
      </c>
      <c r="H1889" s="15">
        <v>10</v>
      </c>
      <c r="I1889" s="163"/>
      <c r="J1889" s="15">
        <v>100</v>
      </c>
      <c r="K1889" s="163" t="s">
        <v>249</v>
      </c>
      <c r="L1889" s="15">
        <v>5</v>
      </c>
      <c r="M1889" s="188">
        <v>51</v>
      </c>
      <c r="N1889" s="169" t="s">
        <v>11</v>
      </c>
    </row>
    <row r="1890" spans="1:14" x14ac:dyDescent="0.25">
      <c r="A1890" s="63" t="s">
        <v>103</v>
      </c>
      <c r="B1890" s="74" t="s">
        <v>546</v>
      </c>
      <c r="C1890" s="2">
        <v>4058075239975</v>
      </c>
      <c r="D1890" s="84"/>
      <c r="E1890" s="101"/>
      <c r="F1890" s="17"/>
      <c r="G1890" s="156" t="str">
        <f>HYPERLINK("https://ledvance.com/pt/product-datasheet/7708/113869","Ficha Técnica")</f>
        <v>Ficha Técnica</v>
      </c>
      <c r="H1890" s="15">
        <v>10</v>
      </c>
      <c r="I1890" s="163"/>
      <c r="J1890" s="15">
        <v>150</v>
      </c>
      <c r="K1890" s="163" t="s">
        <v>249</v>
      </c>
      <c r="L1890" s="15">
        <v>5</v>
      </c>
      <c r="M1890" s="188">
        <v>55.2</v>
      </c>
      <c r="N1890" s="169" t="s">
        <v>11</v>
      </c>
    </row>
    <row r="1891" spans="1:14" x14ac:dyDescent="0.25">
      <c r="A1891" s="63" t="s">
        <v>103</v>
      </c>
      <c r="B1891" s="74" t="s">
        <v>547</v>
      </c>
      <c r="C1891" s="2">
        <v>4058075240032</v>
      </c>
      <c r="D1891" s="84"/>
      <c r="E1891" s="101"/>
      <c r="F1891" s="17"/>
      <c r="G1891" s="156" t="str">
        <f>HYPERLINK("https://ledvance.com/pt/product-datasheet/7708/113872","Ficha Técnica")</f>
        <v>Ficha Técnica</v>
      </c>
      <c r="H1891" s="15">
        <v>10</v>
      </c>
      <c r="I1891" s="163"/>
      <c r="J1891" s="15">
        <v>250</v>
      </c>
      <c r="K1891" s="163" t="s">
        <v>249</v>
      </c>
      <c r="L1891" s="15">
        <v>5</v>
      </c>
      <c r="M1891" s="188">
        <v>101</v>
      </c>
      <c r="N1891" s="169" t="s">
        <v>11</v>
      </c>
    </row>
    <row r="1892" spans="1:14" x14ac:dyDescent="0.25">
      <c r="A1892" s="66" t="s">
        <v>103</v>
      </c>
      <c r="B1892" s="79" t="s">
        <v>2191</v>
      </c>
      <c r="C1892" s="51"/>
      <c r="D1892" s="65"/>
      <c r="E1892" s="86"/>
      <c r="F1892" s="12"/>
      <c r="G1892" s="157"/>
      <c r="H1892" s="49"/>
      <c r="I1892" s="165"/>
      <c r="J1892" s="49"/>
      <c r="K1892" s="165"/>
      <c r="L1892" s="49"/>
      <c r="M1892" s="191"/>
      <c r="N1892" s="65"/>
    </row>
    <row r="1893" spans="1:14" x14ac:dyDescent="0.25">
      <c r="A1893" s="63" t="s">
        <v>103</v>
      </c>
      <c r="B1893" s="74" t="s">
        <v>548</v>
      </c>
      <c r="C1893" s="2">
        <v>4058075835856</v>
      </c>
      <c r="D1893" s="84"/>
      <c r="E1893" s="101"/>
      <c r="F1893" s="16"/>
      <c r="G1893" s="156" t="str">
        <f>HYPERLINK("https://ledvance.com/pt/product-datasheet/7662/280687","Ficha Técnica")</f>
        <v>Ficha Técnica</v>
      </c>
      <c r="H1893" s="15">
        <v>20</v>
      </c>
      <c r="I1893" s="163"/>
      <c r="J1893" s="15">
        <v>30</v>
      </c>
      <c r="K1893" s="163" t="s">
        <v>46</v>
      </c>
      <c r="L1893" s="15">
        <v>3</v>
      </c>
      <c r="M1893" s="188">
        <v>13.7</v>
      </c>
      <c r="N1893" s="169" t="s">
        <v>11</v>
      </c>
    </row>
    <row r="1894" spans="1:14" x14ac:dyDescent="0.25">
      <c r="A1894" s="63" t="s">
        <v>103</v>
      </c>
      <c r="B1894" s="74" t="s">
        <v>549</v>
      </c>
      <c r="C1894" s="2">
        <v>4058075835870</v>
      </c>
      <c r="D1894" s="84"/>
      <c r="E1894" s="101"/>
      <c r="F1894" s="16"/>
      <c r="G1894" s="156" t="str">
        <f>HYPERLINK("https://ledvance.com/pt/product-datasheet/7662/280690","Ficha Técnica")</f>
        <v>Ficha Técnica</v>
      </c>
      <c r="H1894" s="15">
        <v>20</v>
      </c>
      <c r="I1894" s="163"/>
      <c r="J1894" s="15">
        <v>60</v>
      </c>
      <c r="K1894" s="163" t="s">
        <v>46</v>
      </c>
      <c r="L1894" s="15">
        <v>3</v>
      </c>
      <c r="M1894" s="188">
        <v>18.399999999999999</v>
      </c>
      <c r="N1894" s="169" t="s">
        <v>11</v>
      </c>
    </row>
    <row r="1895" spans="1:14" x14ac:dyDescent="0.25">
      <c r="A1895" s="63" t="s">
        <v>103</v>
      </c>
      <c r="B1895" s="74" t="s">
        <v>550</v>
      </c>
      <c r="C1895" s="2">
        <v>4058075835894</v>
      </c>
      <c r="D1895" s="84"/>
      <c r="E1895" s="101"/>
      <c r="F1895" s="16"/>
      <c r="G1895" s="156" t="str">
        <f>HYPERLINK("https://ledvance.com/pt/product-datasheet/7662/280693","Ficha Técnica")</f>
        <v>Ficha Técnica</v>
      </c>
      <c r="H1895" s="15">
        <v>20</v>
      </c>
      <c r="I1895" s="163"/>
      <c r="J1895" s="15">
        <v>120</v>
      </c>
      <c r="K1895" s="163" t="s">
        <v>46</v>
      </c>
      <c r="L1895" s="15">
        <v>3</v>
      </c>
      <c r="M1895" s="188">
        <v>29.6</v>
      </c>
      <c r="N1895" s="169" t="s">
        <v>11</v>
      </c>
    </row>
    <row r="1896" spans="1:14" x14ac:dyDescent="0.25">
      <c r="A1896" s="63" t="s">
        <v>103</v>
      </c>
      <c r="B1896" s="74" t="s">
        <v>551</v>
      </c>
      <c r="C1896" s="2">
        <v>4058075835917</v>
      </c>
      <c r="D1896" s="84"/>
      <c r="E1896" s="101"/>
      <c r="F1896" s="16"/>
      <c r="G1896" s="156" t="str">
        <f>HYPERLINK("https://ledvance.com/pt/product-datasheet/7662/280696","Ficha Técnica")</f>
        <v>Ficha Técnica</v>
      </c>
      <c r="H1896" s="15">
        <v>20</v>
      </c>
      <c r="I1896" s="163"/>
      <c r="J1896" s="15">
        <v>150</v>
      </c>
      <c r="K1896" s="163" t="s">
        <v>46</v>
      </c>
      <c r="L1896" s="15">
        <v>3</v>
      </c>
      <c r="M1896" s="188">
        <v>33.200000000000003</v>
      </c>
      <c r="N1896" s="169" t="s">
        <v>11</v>
      </c>
    </row>
    <row r="1897" spans="1:14" x14ac:dyDescent="0.25">
      <c r="A1897" s="66" t="s">
        <v>103</v>
      </c>
      <c r="B1897" s="79" t="s">
        <v>2126</v>
      </c>
      <c r="C1897" s="51"/>
      <c r="D1897" s="65"/>
      <c r="E1897" s="86"/>
      <c r="F1897" s="12"/>
      <c r="G1897" s="157"/>
      <c r="H1897" s="49"/>
      <c r="I1897" s="165"/>
      <c r="J1897" s="49"/>
      <c r="K1897" s="165"/>
      <c r="L1897" s="49"/>
      <c r="M1897" s="191"/>
      <c r="N1897" s="65"/>
    </row>
    <row r="1898" spans="1:14" x14ac:dyDescent="0.25">
      <c r="A1898" s="66" t="s">
        <v>103</v>
      </c>
      <c r="B1898" s="79" t="s">
        <v>552</v>
      </c>
      <c r="C1898" s="51"/>
      <c r="D1898" s="65"/>
      <c r="E1898" s="86"/>
      <c r="F1898" s="12"/>
      <c r="G1898" s="157"/>
      <c r="H1898" s="49"/>
      <c r="I1898" s="165"/>
      <c r="J1898" s="49"/>
      <c r="K1898" s="165"/>
      <c r="L1898" s="49"/>
      <c r="M1898" s="191"/>
      <c r="N1898" s="65"/>
    </row>
    <row r="1899" spans="1:14" x14ac:dyDescent="0.25">
      <c r="A1899" s="63" t="s">
        <v>103</v>
      </c>
      <c r="B1899" s="74" t="s">
        <v>553</v>
      </c>
      <c r="C1899" s="2">
        <v>4058075779631</v>
      </c>
      <c r="D1899" s="84"/>
      <c r="E1899" s="101"/>
      <c r="F1899" s="16"/>
      <c r="G1899" s="156" t="str">
        <f>HYPERLINK("https://ledvance.com/pt/product-datasheet/209529/209477","Ficha Técnica")</f>
        <v>Ficha Técnica</v>
      </c>
      <c r="H1899" s="15">
        <v>10</v>
      </c>
      <c r="I1899" s="163"/>
      <c r="J1899" s="15" t="s">
        <v>1851</v>
      </c>
      <c r="K1899" s="163" t="s">
        <v>46</v>
      </c>
      <c r="L1899" s="15">
        <v>5</v>
      </c>
      <c r="M1899" s="188">
        <v>30.4</v>
      </c>
      <c r="N1899" s="169" t="s">
        <v>11</v>
      </c>
    </row>
    <row r="1900" spans="1:14" x14ac:dyDescent="0.25">
      <c r="A1900" s="63" t="s">
        <v>103</v>
      </c>
      <c r="B1900" s="74" t="s">
        <v>554</v>
      </c>
      <c r="C1900" s="2">
        <v>4058075779723</v>
      </c>
      <c r="D1900" s="84"/>
      <c r="E1900" s="101"/>
      <c r="F1900" s="16"/>
      <c r="G1900" s="156" t="str">
        <f>HYPERLINK("https://ledvance.com/pt/product-datasheet/209529/209482","Ficha Técnica")</f>
        <v>Ficha Técnica</v>
      </c>
      <c r="H1900" s="15">
        <v>10</v>
      </c>
      <c r="I1900" s="163"/>
      <c r="J1900" s="15" t="s">
        <v>1852</v>
      </c>
      <c r="K1900" s="163" t="s">
        <v>46</v>
      </c>
      <c r="L1900" s="15">
        <v>5</v>
      </c>
      <c r="M1900" s="188">
        <v>31.9</v>
      </c>
      <c r="N1900" s="169" t="s">
        <v>11</v>
      </c>
    </row>
    <row r="1901" spans="1:14" x14ac:dyDescent="0.25">
      <c r="A1901" s="63" t="s">
        <v>103</v>
      </c>
      <c r="B1901" s="74" t="s">
        <v>555</v>
      </c>
      <c r="C1901" s="2">
        <v>4058075779662</v>
      </c>
      <c r="D1901" s="84"/>
      <c r="E1901" s="101"/>
      <c r="F1901" s="16"/>
      <c r="G1901" s="156" t="str">
        <f>HYPERLINK("https://ledvance.com/pt/product-datasheet/209529/209488","Ficha Técnica")</f>
        <v>Ficha Técnica</v>
      </c>
      <c r="H1901" s="15">
        <v>10</v>
      </c>
      <c r="I1901" s="163"/>
      <c r="J1901" s="15" t="s">
        <v>1853</v>
      </c>
      <c r="K1901" s="163" t="s">
        <v>46</v>
      </c>
      <c r="L1901" s="15">
        <v>5</v>
      </c>
      <c r="M1901" s="188">
        <v>42</v>
      </c>
      <c r="N1901" s="169" t="s">
        <v>11</v>
      </c>
    </row>
    <row r="1902" spans="1:14" x14ac:dyDescent="0.25">
      <c r="A1902" s="63" t="s">
        <v>556</v>
      </c>
      <c r="B1902" s="74" t="s">
        <v>557</v>
      </c>
      <c r="C1902" s="2">
        <v>4058075483125</v>
      </c>
      <c r="D1902" s="84"/>
      <c r="E1902" s="101"/>
      <c r="F1902" s="17"/>
      <c r="G1902" s="156" t="str">
        <f>HYPERLINK("https://ledvance.com/pt/product-datasheet/7688/87436","Ficha Técnica")</f>
        <v>Ficha Técnica</v>
      </c>
      <c r="H1902" s="15">
        <v>20</v>
      </c>
      <c r="I1902" s="163"/>
      <c r="J1902" s="15"/>
      <c r="K1902" s="163"/>
      <c r="L1902" s="15"/>
      <c r="M1902" s="188">
        <v>3.6</v>
      </c>
      <c r="N1902" s="169" t="s">
        <v>11</v>
      </c>
    </row>
    <row r="1903" spans="1:14" x14ac:dyDescent="0.25">
      <c r="A1903" s="63" t="s">
        <v>556</v>
      </c>
      <c r="B1903" s="74" t="s">
        <v>558</v>
      </c>
      <c r="C1903" s="2">
        <v>4058075483149</v>
      </c>
      <c r="D1903" s="84"/>
      <c r="E1903" s="101"/>
      <c r="F1903" s="17"/>
      <c r="G1903" s="156" t="str">
        <f>HYPERLINK("https://ledvance.com/pt/product-datasheet/7688/87439","Ficha Técnica")</f>
        <v>Ficha Técnica</v>
      </c>
      <c r="H1903" s="15">
        <v>10</v>
      </c>
      <c r="I1903" s="163"/>
      <c r="J1903" s="15"/>
      <c r="K1903" s="163"/>
      <c r="L1903" s="15"/>
      <c r="M1903" s="188">
        <v>3.2</v>
      </c>
      <c r="N1903" s="169" t="s">
        <v>11</v>
      </c>
    </row>
    <row r="1904" spans="1:14" x14ac:dyDescent="0.25">
      <c r="A1904" s="63" t="s">
        <v>103</v>
      </c>
      <c r="B1904" s="74" t="s">
        <v>2208</v>
      </c>
      <c r="C1904" s="2">
        <v>4058075845367</v>
      </c>
      <c r="D1904" s="84"/>
      <c r="E1904" s="61"/>
      <c r="G1904" s="156" t="str">
        <f>HYPERLINK("https://ledvance.com/pt/product-datasheet/341286/328210","Ficha Técnica")</f>
        <v>Ficha Técnica</v>
      </c>
      <c r="H1904" s="15" t="s">
        <v>2104</v>
      </c>
      <c r="I1904" s="163"/>
      <c r="J1904" s="15">
        <v>30</v>
      </c>
      <c r="K1904" s="163" t="s">
        <v>46</v>
      </c>
      <c r="L1904" s="15">
        <v>5</v>
      </c>
      <c r="M1904" s="188">
        <v>30.4</v>
      </c>
      <c r="N1904" s="169" t="s">
        <v>11</v>
      </c>
    </row>
    <row r="1905" spans="1:14" x14ac:dyDescent="0.25">
      <c r="A1905" s="63" t="s">
        <v>103</v>
      </c>
      <c r="B1905" s="74" t="s">
        <v>2209</v>
      </c>
      <c r="C1905" s="2">
        <v>4058075845381</v>
      </c>
      <c r="D1905" s="84"/>
      <c r="E1905" s="61"/>
      <c r="G1905" s="156" t="str">
        <f>HYPERLINK("https://ledvance.com/pt/product-datasheet/341286/328213","Ficha Técnica")</f>
        <v>Ficha Técnica</v>
      </c>
      <c r="H1905" s="15" t="s">
        <v>2104</v>
      </c>
      <c r="I1905" s="163"/>
      <c r="J1905" s="15">
        <v>42</v>
      </c>
      <c r="K1905" s="163" t="s">
        <v>46</v>
      </c>
      <c r="L1905" s="15">
        <v>5</v>
      </c>
      <c r="M1905" s="188">
        <v>31.9</v>
      </c>
      <c r="N1905" s="169" t="s">
        <v>11</v>
      </c>
    </row>
    <row r="1906" spans="1:14" x14ac:dyDescent="0.25">
      <c r="A1906" s="66" t="s">
        <v>103</v>
      </c>
      <c r="B1906" s="79" t="s">
        <v>2192</v>
      </c>
      <c r="C1906" s="51"/>
      <c r="D1906" s="65"/>
      <c r="E1906" s="86"/>
      <c r="F1906" s="12"/>
      <c r="G1906" s="157"/>
      <c r="H1906" s="49"/>
      <c r="I1906" s="165"/>
      <c r="J1906" s="49"/>
      <c r="K1906" s="165"/>
      <c r="L1906" s="49"/>
      <c r="M1906" s="191"/>
      <c r="N1906" s="65"/>
    </row>
    <row r="1907" spans="1:14" x14ac:dyDescent="0.25">
      <c r="A1907" s="63" t="s">
        <v>103</v>
      </c>
      <c r="B1907" s="74" t="s">
        <v>559</v>
      </c>
      <c r="C1907" s="2">
        <v>4058075239814</v>
      </c>
      <c r="D1907" s="84"/>
      <c r="E1907" s="101"/>
      <c r="F1907" s="17"/>
      <c r="G1907" s="156" t="str">
        <f>HYPERLINK("https://ledvance.com/pt/product-datasheet/7643/88513","Ficha Técnica")</f>
        <v>Ficha Técnica</v>
      </c>
      <c r="H1907" s="15">
        <v>10</v>
      </c>
      <c r="I1907" s="163"/>
      <c r="J1907" s="15">
        <v>13</v>
      </c>
      <c r="K1907" s="163" t="s">
        <v>46</v>
      </c>
      <c r="L1907" s="15">
        <v>5</v>
      </c>
      <c r="M1907" s="188">
        <v>13.1</v>
      </c>
      <c r="N1907" s="169" t="s">
        <v>11</v>
      </c>
    </row>
    <row r="1908" spans="1:14" x14ac:dyDescent="0.25">
      <c r="A1908" s="63" t="s">
        <v>103</v>
      </c>
      <c r="B1908" s="74" t="s">
        <v>560</v>
      </c>
      <c r="C1908" s="2">
        <v>4058075239838</v>
      </c>
      <c r="D1908" s="84"/>
      <c r="E1908" s="101"/>
      <c r="F1908" s="17"/>
      <c r="G1908" s="156" t="str">
        <f>HYPERLINK("https://ledvance.com/pt/product-datasheet/7643/88517","Ficha Técnica")</f>
        <v>Ficha Técnica</v>
      </c>
      <c r="H1908" s="15">
        <v>10</v>
      </c>
      <c r="I1908" s="163"/>
      <c r="J1908" s="15">
        <v>18</v>
      </c>
      <c r="K1908" s="163" t="s">
        <v>46</v>
      </c>
      <c r="L1908" s="15">
        <v>5</v>
      </c>
      <c r="M1908" s="188">
        <v>15.5</v>
      </c>
      <c r="N1908" s="169" t="s">
        <v>11</v>
      </c>
    </row>
    <row r="1909" spans="1:14" x14ac:dyDescent="0.25">
      <c r="A1909" s="63" t="s">
        <v>103</v>
      </c>
      <c r="B1909" s="74" t="s">
        <v>561</v>
      </c>
      <c r="C1909" s="2">
        <v>4058075239852</v>
      </c>
      <c r="D1909" s="84"/>
      <c r="E1909" s="101"/>
      <c r="F1909" s="17"/>
      <c r="G1909" s="156" t="str">
        <f>HYPERLINK("https://ledvance.com/pt/product-datasheet/7643/88521","Ficha Técnica")</f>
        <v>Ficha Técnica</v>
      </c>
      <c r="H1909" s="15">
        <v>10</v>
      </c>
      <c r="I1909" s="163"/>
      <c r="J1909" s="15">
        <v>25</v>
      </c>
      <c r="K1909" s="163" t="s">
        <v>46</v>
      </c>
      <c r="L1909" s="15">
        <v>5</v>
      </c>
      <c r="M1909" s="188">
        <v>16.3</v>
      </c>
      <c r="N1909" s="169" t="s">
        <v>11</v>
      </c>
    </row>
    <row r="1910" spans="1:14" x14ac:dyDescent="0.25">
      <c r="A1910" s="63" t="s">
        <v>103</v>
      </c>
      <c r="B1910" s="74" t="s">
        <v>562</v>
      </c>
      <c r="C1910" s="2">
        <v>4058075239876</v>
      </c>
      <c r="D1910" s="84"/>
      <c r="E1910" s="101"/>
      <c r="F1910" s="17"/>
      <c r="G1910" s="156" t="str">
        <f>HYPERLINK("https://ledvance.com/pt/product-datasheet/7643/88525","Ficha Técnica")</f>
        <v>Ficha Técnica</v>
      </c>
      <c r="H1910" s="15">
        <v>10</v>
      </c>
      <c r="I1910" s="163"/>
      <c r="J1910" s="15">
        <v>35</v>
      </c>
      <c r="K1910" s="163" t="s">
        <v>46</v>
      </c>
      <c r="L1910" s="15">
        <v>5</v>
      </c>
      <c r="M1910" s="188">
        <v>19.2</v>
      </c>
      <c r="N1910" s="169" t="s">
        <v>11</v>
      </c>
    </row>
    <row r="1911" spans="1:14" x14ac:dyDescent="0.25">
      <c r="A1911" s="63" t="s">
        <v>556</v>
      </c>
      <c r="B1911" s="74" t="s">
        <v>563</v>
      </c>
      <c r="C1911" s="2">
        <v>4058075313170</v>
      </c>
      <c r="D1911" s="84"/>
      <c r="E1911" s="101"/>
      <c r="F1911" s="17"/>
      <c r="G1911" s="156" t="str">
        <f>HYPERLINK("https://ledvance.com/pt/product-datasheet/7687/114529","Ficha Técnica")</f>
        <v>Ficha Técnica</v>
      </c>
      <c r="H1911" s="15">
        <v>20</v>
      </c>
      <c r="I1911" s="163"/>
      <c r="J1911" s="15"/>
      <c r="K1911" s="163"/>
      <c r="L1911" s="15"/>
      <c r="M1911" s="188">
        <v>1.8</v>
      </c>
      <c r="N1911" s="169" t="s">
        <v>11</v>
      </c>
    </row>
    <row r="1912" spans="1:14" x14ac:dyDescent="0.25">
      <c r="A1912" s="66" t="s">
        <v>103</v>
      </c>
      <c r="B1912" s="79" t="s">
        <v>2193</v>
      </c>
      <c r="C1912" s="51"/>
      <c r="D1912" s="128"/>
      <c r="E1912" s="129"/>
      <c r="F1912" s="12"/>
      <c r="G1912" s="157"/>
      <c r="H1912" s="49"/>
      <c r="I1912" s="165"/>
      <c r="J1912" s="49"/>
      <c r="K1912" s="165"/>
      <c r="L1912" s="49"/>
      <c r="M1912" s="191"/>
      <c r="N1912" s="65"/>
    </row>
    <row r="1913" spans="1:14" x14ac:dyDescent="0.25">
      <c r="A1913" s="63" t="s">
        <v>103</v>
      </c>
      <c r="B1913" s="74" t="s">
        <v>564</v>
      </c>
      <c r="C1913" s="2">
        <v>4099854077050</v>
      </c>
      <c r="D1913" s="84"/>
      <c r="E1913" s="101"/>
      <c r="F1913" s="17"/>
      <c r="G1913" s="156" t="str">
        <f>HYPERLINK("https://ledvance.com/pt/product-datasheet/7605/240903","Ficha Técnica")</f>
        <v>Ficha Técnica</v>
      </c>
      <c r="H1913" s="15">
        <v>10</v>
      </c>
      <c r="I1913" s="163"/>
      <c r="J1913" s="15">
        <v>21</v>
      </c>
      <c r="K1913" s="163" t="s">
        <v>46</v>
      </c>
      <c r="L1913" s="15">
        <v>5</v>
      </c>
      <c r="M1913" s="188">
        <v>11.8</v>
      </c>
      <c r="N1913" s="169" t="s">
        <v>11</v>
      </c>
    </row>
    <row r="1914" spans="1:14" x14ac:dyDescent="0.25">
      <c r="A1914" s="63" t="s">
        <v>103</v>
      </c>
      <c r="B1914" s="74" t="s">
        <v>565</v>
      </c>
      <c r="C1914" s="2">
        <v>4099854077081</v>
      </c>
      <c r="D1914" s="84"/>
      <c r="E1914" s="101"/>
      <c r="F1914" s="17"/>
      <c r="G1914" s="156" t="str">
        <f>HYPERLINK("https://ledvance.com/pt/product-datasheet/7605/240907","Ficha Técnica")</f>
        <v>Ficha Técnica</v>
      </c>
      <c r="H1914" s="15">
        <v>10</v>
      </c>
      <c r="I1914" s="163"/>
      <c r="J1914" s="15">
        <v>30</v>
      </c>
      <c r="K1914" s="163" t="s">
        <v>46</v>
      </c>
      <c r="L1914" s="15">
        <v>5</v>
      </c>
      <c r="M1914" s="188">
        <v>13.2</v>
      </c>
      <c r="N1914" s="169" t="s">
        <v>11</v>
      </c>
    </row>
    <row r="1915" spans="1:14" x14ac:dyDescent="0.25">
      <c r="A1915" s="63" t="s">
        <v>103</v>
      </c>
      <c r="B1915" s="74" t="s">
        <v>566</v>
      </c>
      <c r="C1915" s="2">
        <v>4099854077111</v>
      </c>
      <c r="D1915" s="84"/>
      <c r="E1915" s="101"/>
      <c r="F1915" s="17"/>
      <c r="G1915" s="156" t="str">
        <f>HYPERLINK("https://ledvance.com/pt/product-datasheet/7605/240911","Ficha Técnica")</f>
        <v>Ficha Técnica</v>
      </c>
      <c r="H1915" s="15">
        <v>10</v>
      </c>
      <c r="I1915" s="163"/>
      <c r="J1915" s="15">
        <v>42</v>
      </c>
      <c r="K1915" s="163" t="s">
        <v>46</v>
      </c>
      <c r="L1915" s="15">
        <v>5</v>
      </c>
      <c r="M1915" s="188">
        <v>14.3</v>
      </c>
      <c r="N1915" s="169" t="s">
        <v>11</v>
      </c>
    </row>
    <row r="1916" spans="1:14" x14ac:dyDescent="0.25">
      <c r="A1916" s="63" t="s">
        <v>556</v>
      </c>
      <c r="B1916" s="74" t="s">
        <v>567</v>
      </c>
      <c r="C1916" s="2">
        <v>4099854077937</v>
      </c>
      <c r="D1916" s="84"/>
      <c r="E1916" s="101"/>
      <c r="F1916" s="17"/>
      <c r="G1916" s="156" t="str">
        <f>HYPERLINK("https://ledvance.com/pt/product-datasheet/7687/241233","Ficha Técnica")</f>
        <v>Ficha Técnica</v>
      </c>
      <c r="H1916" s="15">
        <v>20</v>
      </c>
      <c r="I1916" s="163"/>
      <c r="J1916" s="15"/>
      <c r="K1916" s="163"/>
      <c r="L1916" s="15"/>
      <c r="M1916" s="188">
        <v>2.2000000000000002</v>
      </c>
      <c r="N1916" s="169" t="s">
        <v>11</v>
      </c>
    </row>
    <row r="1917" spans="1:14" x14ac:dyDescent="0.25">
      <c r="A1917" s="66" t="s">
        <v>103</v>
      </c>
      <c r="B1917" s="79" t="s">
        <v>2194</v>
      </c>
      <c r="C1917" s="51"/>
      <c r="D1917" s="128"/>
      <c r="E1917" s="129"/>
      <c r="F1917" s="12"/>
      <c r="G1917" s="157"/>
      <c r="H1917" s="49"/>
      <c r="I1917" s="165"/>
      <c r="J1917" s="49"/>
      <c r="K1917" s="165"/>
      <c r="L1917" s="49"/>
      <c r="M1917" s="191"/>
      <c r="N1917" s="65"/>
    </row>
    <row r="1918" spans="1:14" x14ac:dyDescent="0.25">
      <c r="A1918" s="63" t="s">
        <v>103</v>
      </c>
      <c r="B1918" s="74" t="s">
        <v>1402</v>
      </c>
      <c r="C1918" s="2">
        <v>4099854258497</v>
      </c>
      <c r="D1918" s="84"/>
      <c r="E1918" s="101"/>
      <c r="F1918" s="17"/>
      <c r="G1918" s="156" t="str">
        <f>HYPERLINK("https://ledvance.com/pt/product-datasheet/304542/291467","Ficha Técnica")</f>
        <v>Ficha Técnica</v>
      </c>
      <c r="H1918" s="15">
        <v>20</v>
      </c>
      <c r="I1918" s="163"/>
      <c r="J1918" s="15"/>
      <c r="K1918" s="163" t="s">
        <v>46</v>
      </c>
      <c r="L1918" s="15">
        <v>5</v>
      </c>
      <c r="M1918" s="188">
        <v>17.399999999999999</v>
      </c>
      <c r="N1918" s="169" t="s">
        <v>11</v>
      </c>
    </row>
    <row r="1919" spans="1:14" x14ac:dyDescent="0.25">
      <c r="A1919" s="63" t="s">
        <v>103</v>
      </c>
      <c r="B1919" s="74" t="s">
        <v>1403</v>
      </c>
      <c r="C1919" s="2">
        <v>4099854258510</v>
      </c>
      <c r="D1919" s="84"/>
      <c r="E1919" s="101"/>
      <c r="F1919" s="17"/>
      <c r="G1919" s="156" t="str">
        <f>HYPERLINK("https://ledvance.com/pt/product-datasheet/304542/291470","Ficha Técnica")</f>
        <v>Ficha Técnica</v>
      </c>
      <c r="H1919" s="15">
        <v>20</v>
      </c>
      <c r="I1919" s="163"/>
      <c r="J1919" s="15"/>
      <c r="K1919" s="163" t="s">
        <v>46</v>
      </c>
      <c r="L1919" s="15">
        <v>5</v>
      </c>
      <c r="M1919" s="188">
        <v>18.600000000000001</v>
      </c>
      <c r="N1919" s="169" t="s">
        <v>11</v>
      </c>
    </row>
    <row r="1920" spans="1:14" x14ac:dyDescent="0.25">
      <c r="A1920" s="63" t="s">
        <v>103</v>
      </c>
      <c r="B1920" s="74" t="s">
        <v>1404</v>
      </c>
      <c r="C1920" s="2">
        <v>4099854258534</v>
      </c>
      <c r="D1920" s="84"/>
      <c r="E1920" s="101"/>
      <c r="F1920" s="17"/>
      <c r="G1920" s="156" t="str">
        <f>HYPERLINK("https://ledvance.com/pt/product-datasheet/304542/291473","Ficha Técnica")</f>
        <v>Ficha Técnica</v>
      </c>
      <c r="H1920" s="15">
        <v>20</v>
      </c>
      <c r="I1920" s="163"/>
      <c r="J1920" s="15"/>
      <c r="K1920" s="163" t="s">
        <v>46</v>
      </c>
      <c r="L1920" s="15">
        <v>5</v>
      </c>
      <c r="M1920" s="188">
        <v>23.8</v>
      </c>
      <c r="N1920" s="169" t="s">
        <v>11</v>
      </c>
    </row>
    <row r="1921" spans="1:14" x14ac:dyDescent="0.25">
      <c r="A1921" s="63" t="s">
        <v>103</v>
      </c>
      <c r="B1921" s="74" t="s">
        <v>1405</v>
      </c>
      <c r="C1921" s="2">
        <v>4099854258558</v>
      </c>
      <c r="D1921" s="84"/>
      <c r="E1921" s="101"/>
      <c r="F1921" s="17"/>
      <c r="G1921" s="156" t="str">
        <f>HYPERLINK("https://ledvance.com/pt/product-datasheet/304542/291476","Ficha Técnica")</f>
        <v>Ficha Técnica</v>
      </c>
      <c r="H1921" s="15">
        <v>20</v>
      </c>
      <c r="I1921" s="163"/>
      <c r="J1921" s="15"/>
      <c r="K1921" s="163" t="s">
        <v>46</v>
      </c>
      <c r="L1921" s="15">
        <v>5</v>
      </c>
      <c r="M1921" s="188">
        <v>30.5</v>
      </c>
      <c r="N1921" s="169" t="s">
        <v>11</v>
      </c>
    </row>
    <row r="1922" spans="1:14" ht="23.25" x14ac:dyDescent="0.25">
      <c r="A1922" s="66"/>
      <c r="B1922" s="180" t="s">
        <v>568</v>
      </c>
      <c r="C1922" s="51"/>
      <c r="D1922" s="65"/>
      <c r="E1922" s="86"/>
      <c r="F1922" s="12"/>
      <c r="G1922" s="157"/>
      <c r="H1922" s="12"/>
      <c r="I1922" s="62"/>
      <c r="J1922" s="27"/>
      <c r="K1922" s="62"/>
      <c r="L1922" s="12"/>
      <c r="M1922" s="191"/>
      <c r="N1922" s="65"/>
    </row>
    <row r="1923" spans="1:14" x14ac:dyDescent="0.25">
      <c r="A1923" s="66" t="s">
        <v>570</v>
      </c>
      <c r="B1923" s="73" t="s">
        <v>569</v>
      </c>
      <c r="C1923" s="52"/>
      <c r="D1923" s="130"/>
      <c r="E1923" s="131"/>
      <c r="F1923" s="11"/>
      <c r="G1923" s="159"/>
      <c r="H1923" s="12"/>
      <c r="I1923" s="62"/>
      <c r="J1923" s="27"/>
      <c r="K1923" s="62"/>
      <c r="L1923" s="12"/>
      <c r="M1923" s="191"/>
      <c r="N1923" s="130"/>
    </row>
    <row r="1924" spans="1:14" x14ac:dyDescent="0.25">
      <c r="A1924" s="63" t="s">
        <v>570</v>
      </c>
      <c r="B1924" s="74" t="s">
        <v>3445</v>
      </c>
      <c r="C1924" s="2">
        <v>4099854144431</v>
      </c>
      <c r="D1924" s="84"/>
      <c r="E1924" s="101"/>
      <c r="G1924" s="156" t="str">
        <f>HYPERLINK("https://ledvance.com/pt/product-datasheet/247540/260913","Ficha Técnica")</f>
        <v>Ficha Técnica</v>
      </c>
      <c r="H1924" s="15">
        <v>10</v>
      </c>
      <c r="I1924" s="163">
        <v>1000</v>
      </c>
      <c r="J1924" s="15" t="s">
        <v>1854</v>
      </c>
      <c r="K1924" s="163" t="s">
        <v>46</v>
      </c>
      <c r="L1924" s="15">
        <v>5</v>
      </c>
      <c r="M1924" s="193">
        <v>40</v>
      </c>
      <c r="N1924" s="173" t="s">
        <v>571</v>
      </c>
    </row>
    <row r="1925" spans="1:14" x14ac:dyDescent="0.25">
      <c r="A1925" s="63" t="s">
        <v>570</v>
      </c>
      <c r="B1925" s="74" t="s">
        <v>3446</v>
      </c>
      <c r="C1925" s="59">
        <v>4058075823938</v>
      </c>
      <c r="D1925" s="84"/>
      <c r="E1925" s="101"/>
      <c r="F1925" s="25"/>
      <c r="G1925" s="156" t="str">
        <f>HYPERLINK("https://ledvance.com/pt/product-datasheet/247540/242781","Ficha Técnica")</f>
        <v>Ficha Técnica</v>
      </c>
      <c r="H1925" s="15">
        <v>10</v>
      </c>
      <c r="I1925" s="163">
        <v>1100</v>
      </c>
      <c r="J1925" s="15" t="s">
        <v>1854</v>
      </c>
      <c r="K1925" s="163" t="s">
        <v>46</v>
      </c>
      <c r="L1925" s="15">
        <v>5</v>
      </c>
      <c r="M1925" s="193">
        <v>40</v>
      </c>
      <c r="N1925" s="173" t="s">
        <v>571</v>
      </c>
    </row>
    <row r="1926" spans="1:14" x14ac:dyDescent="0.25">
      <c r="A1926" s="63" t="s">
        <v>570</v>
      </c>
      <c r="B1926" s="74" t="s">
        <v>3447</v>
      </c>
      <c r="C1926" s="59">
        <v>4058075823952</v>
      </c>
      <c r="D1926" s="84"/>
      <c r="E1926" s="101"/>
      <c r="F1926" s="25"/>
      <c r="G1926" s="156" t="str">
        <f>HYPERLINK("https://ledvance.com/pt/product-datasheet/247540/242784","Ficha Técnica")</f>
        <v>Ficha Técnica</v>
      </c>
      <c r="H1926" s="15">
        <v>10</v>
      </c>
      <c r="I1926" s="163">
        <v>1100</v>
      </c>
      <c r="J1926" s="15" t="s">
        <v>1854</v>
      </c>
      <c r="K1926" s="163" t="s">
        <v>46</v>
      </c>
      <c r="L1926" s="15">
        <v>5</v>
      </c>
      <c r="M1926" s="193">
        <v>40</v>
      </c>
      <c r="N1926" s="173" t="s">
        <v>571</v>
      </c>
    </row>
    <row r="1927" spans="1:14" x14ac:dyDescent="0.25">
      <c r="A1927" s="63" t="s">
        <v>570</v>
      </c>
      <c r="B1927" s="74" t="s">
        <v>3448</v>
      </c>
      <c r="C1927" s="2">
        <v>4099854144455</v>
      </c>
      <c r="D1927" s="84"/>
      <c r="E1927" s="101"/>
      <c r="G1927" s="156" t="str">
        <f>HYPERLINK("https://ledvance.com/pt/product-datasheet/247540/260916","Ficha Técnica")</f>
        <v>Ficha Técnica</v>
      </c>
      <c r="H1927" s="15">
        <v>10</v>
      </c>
      <c r="I1927" s="163">
        <v>2160</v>
      </c>
      <c r="J1927" s="15">
        <v>16</v>
      </c>
      <c r="K1927" s="163" t="s">
        <v>46</v>
      </c>
      <c r="L1927" s="15">
        <v>5</v>
      </c>
      <c r="M1927" s="193">
        <v>49</v>
      </c>
      <c r="N1927" s="173" t="s">
        <v>571</v>
      </c>
    </row>
    <row r="1928" spans="1:14" x14ac:dyDescent="0.25">
      <c r="A1928" s="63" t="s">
        <v>570</v>
      </c>
      <c r="B1928" s="74" t="s">
        <v>3449</v>
      </c>
      <c r="C1928" s="59">
        <v>4058075823976</v>
      </c>
      <c r="D1928" s="84"/>
      <c r="E1928" s="101"/>
      <c r="F1928" s="25"/>
      <c r="G1928" s="156" t="str">
        <f>HYPERLINK("https://ledvance.com/pt/product-datasheet/247540/242796","Ficha Técnica")</f>
        <v>Ficha Técnica</v>
      </c>
      <c r="H1928" s="15">
        <v>10</v>
      </c>
      <c r="I1928" s="163">
        <v>2400</v>
      </c>
      <c r="J1928" s="15">
        <v>16</v>
      </c>
      <c r="K1928" s="163" t="s">
        <v>46</v>
      </c>
      <c r="L1928" s="15">
        <v>5</v>
      </c>
      <c r="M1928" s="193">
        <v>49</v>
      </c>
      <c r="N1928" s="173" t="s">
        <v>571</v>
      </c>
    </row>
    <row r="1929" spans="1:14" x14ac:dyDescent="0.25">
      <c r="A1929" s="63" t="s">
        <v>570</v>
      </c>
      <c r="B1929" s="74" t="s">
        <v>3450</v>
      </c>
      <c r="C1929" s="59">
        <v>4058075823990</v>
      </c>
      <c r="D1929" s="84"/>
      <c r="E1929" s="101"/>
      <c r="F1929" s="25"/>
      <c r="G1929" s="156" t="str">
        <f>HYPERLINK("https://ledvance.com/pt/product-datasheet/247540/242787","Ficha Técnica")</f>
        <v>Ficha Técnica</v>
      </c>
      <c r="H1929" s="15">
        <v>10</v>
      </c>
      <c r="I1929" s="163">
        <v>2400</v>
      </c>
      <c r="J1929" s="15">
        <v>16</v>
      </c>
      <c r="K1929" s="163" t="s">
        <v>46</v>
      </c>
      <c r="L1929" s="15">
        <v>5</v>
      </c>
      <c r="M1929" s="193">
        <v>49</v>
      </c>
      <c r="N1929" s="173" t="s">
        <v>571</v>
      </c>
    </row>
    <row r="1930" spans="1:14" x14ac:dyDescent="0.25">
      <c r="A1930" s="63" t="s">
        <v>570</v>
      </c>
      <c r="B1930" s="74" t="s">
        <v>3451</v>
      </c>
      <c r="C1930" s="2">
        <v>4099854144479</v>
      </c>
      <c r="D1930" s="84"/>
      <c r="E1930" s="101"/>
      <c r="G1930" s="156" t="str">
        <f>HYPERLINK("https://ledvance.com/pt/product-datasheet/247540/260919","Ficha Técnica")</f>
        <v>Ficha Técnica</v>
      </c>
      <c r="H1930" s="15">
        <v>10</v>
      </c>
      <c r="I1930" s="163">
        <v>3250</v>
      </c>
      <c r="J1930" s="15">
        <v>24</v>
      </c>
      <c r="K1930" s="163" t="s">
        <v>46</v>
      </c>
      <c r="L1930" s="15">
        <v>5</v>
      </c>
      <c r="M1930" s="193">
        <v>54.9</v>
      </c>
      <c r="N1930" s="173" t="s">
        <v>571</v>
      </c>
    </row>
    <row r="1931" spans="1:14" x14ac:dyDescent="0.25">
      <c r="A1931" s="63" t="s">
        <v>570</v>
      </c>
      <c r="B1931" s="74" t="s">
        <v>3452</v>
      </c>
      <c r="C1931" s="59">
        <v>4058075824010</v>
      </c>
      <c r="D1931" s="84"/>
      <c r="E1931" s="101"/>
      <c r="F1931" s="25"/>
      <c r="G1931" s="156" t="str">
        <f>HYPERLINK("https://ledvance.com/pt/product-datasheet/247540/242790","Ficha Técnica")</f>
        <v>Ficha Técnica</v>
      </c>
      <c r="H1931" s="15">
        <v>10</v>
      </c>
      <c r="I1931" s="163">
        <v>3600</v>
      </c>
      <c r="J1931" s="15">
        <v>24</v>
      </c>
      <c r="K1931" s="163" t="s">
        <v>46</v>
      </c>
      <c r="L1931" s="15">
        <v>5</v>
      </c>
      <c r="M1931" s="193">
        <v>54.9</v>
      </c>
      <c r="N1931" s="173" t="s">
        <v>571</v>
      </c>
    </row>
    <row r="1932" spans="1:14" x14ac:dyDescent="0.25">
      <c r="A1932" s="63" t="s">
        <v>570</v>
      </c>
      <c r="B1932" s="74" t="s">
        <v>3453</v>
      </c>
      <c r="C1932" s="59">
        <v>4058075824034</v>
      </c>
      <c r="D1932" s="84"/>
      <c r="E1932" s="101"/>
      <c r="F1932" s="25"/>
      <c r="G1932" s="156" t="str">
        <f>HYPERLINK("https://ledvance.com/pt/product-datasheet/247540/242793","Ficha Técnica")</f>
        <v>Ficha Técnica</v>
      </c>
      <c r="H1932" s="15">
        <v>10</v>
      </c>
      <c r="I1932" s="163">
        <v>3600</v>
      </c>
      <c r="J1932" s="15">
        <v>24</v>
      </c>
      <c r="K1932" s="163" t="s">
        <v>46</v>
      </c>
      <c r="L1932" s="15">
        <v>5</v>
      </c>
      <c r="M1932" s="193">
        <v>54.9</v>
      </c>
      <c r="N1932" s="173" t="s">
        <v>571</v>
      </c>
    </row>
    <row r="1933" spans="1:14" x14ac:dyDescent="0.25">
      <c r="A1933" s="66" t="s">
        <v>570</v>
      </c>
      <c r="B1933" s="73" t="s">
        <v>1443</v>
      </c>
      <c r="C1933" s="52"/>
      <c r="D1933" s="65"/>
      <c r="E1933" s="92"/>
      <c r="F1933" s="12"/>
      <c r="G1933" s="157"/>
      <c r="H1933" s="12"/>
      <c r="I1933" s="62"/>
      <c r="J1933" s="27"/>
      <c r="K1933" s="62"/>
      <c r="L1933" s="12"/>
      <c r="M1933" s="191"/>
      <c r="N1933" s="130"/>
    </row>
    <row r="1934" spans="1:14" x14ac:dyDescent="0.25">
      <c r="A1934" s="63" t="s">
        <v>570</v>
      </c>
      <c r="B1934" s="74" t="s">
        <v>1444</v>
      </c>
      <c r="C1934" s="2">
        <v>4058075232969</v>
      </c>
      <c r="D1934" s="84"/>
      <c r="E1934" s="101"/>
      <c r="F1934" s="25"/>
      <c r="G1934" s="156" t="str">
        <f>HYPERLINK("https://ledvance.com/pt/product-datasheet/256062/90159","Ficha Técnica")</f>
        <v>Ficha Técnica</v>
      </c>
      <c r="H1934" s="15">
        <v>27</v>
      </c>
      <c r="I1934" s="163"/>
      <c r="J1934" s="15">
        <v>1</v>
      </c>
      <c r="K1934" s="163" t="s">
        <v>572</v>
      </c>
      <c r="L1934" s="15">
        <v>5</v>
      </c>
      <c r="M1934" s="188">
        <v>196</v>
      </c>
      <c r="N1934" s="169" t="s">
        <v>11</v>
      </c>
    </row>
    <row r="1935" spans="1:14" x14ac:dyDescent="0.25">
      <c r="A1935" s="63" t="s">
        <v>570</v>
      </c>
      <c r="B1935" s="74" t="s">
        <v>1445</v>
      </c>
      <c r="C1935" s="2">
        <v>4058075232983</v>
      </c>
      <c r="D1935" s="84"/>
      <c r="E1935" s="101"/>
      <c r="F1935" s="25"/>
      <c r="G1935" s="156" t="str">
        <f>HYPERLINK("https://ledvance.com/pt/product-datasheet/256061/90162","Ficha Técnica")</f>
        <v>Ficha Técnica</v>
      </c>
      <c r="H1935" s="15">
        <v>27</v>
      </c>
      <c r="I1935" s="163"/>
      <c r="J1935" s="15">
        <v>1</v>
      </c>
      <c r="K1935" s="163" t="s">
        <v>572</v>
      </c>
      <c r="L1935" s="15">
        <v>5</v>
      </c>
      <c r="M1935" s="188">
        <v>196</v>
      </c>
      <c r="N1935" s="169" t="s">
        <v>11</v>
      </c>
    </row>
    <row r="1936" spans="1:14" x14ac:dyDescent="0.25">
      <c r="A1936" s="63" t="s">
        <v>570</v>
      </c>
      <c r="B1936" s="74" t="s">
        <v>573</v>
      </c>
      <c r="C1936" s="2">
        <v>4058075374034</v>
      </c>
      <c r="D1936" s="84"/>
      <c r="E1936" s="101"/>
      <c r="F1936" s="25"/>
      <c r="G1936" s="156" t="str">
        <f>HYPERLINK("https://ledvance.com/pt/product-datasheet/256063/116278","Ficha Técnica")</f>
        <v>Ficha Técnica</v>
      </c>
      <c r="H1936" s="15">
        <v>10</v>
      </c>
      <c r="I1936" s="163"/>
      <c r="J1936" s="15"/>
      <c r="K1936" s="163" t="s">
        <v>46</v>
      </c>
      <c r="L1936" s="15">
        <v>3</v>
      </c>
      <c r="M1936" s="188">
        <v>30.2</v>
      </c>
      <c r="N1936" s="169" t="s">
        <v>11</v>
      </c>
    </row>
    <row r="1937" spans="1:14" x14ac:dyDescent="0.25">
      <c r="A1937" s="66" t="s">
        <v>570</v>
      </c>
      <c r="B1937" s="69" t="s">
        <v>1308</v>
      </c>
      <c r="C1937" s="52"/>
      <c r="D1937" s="65"/>
      <c r="E1937" s="86"/>
      <c r="F1937" s="12"/>
      <c r="G1937" s="157"/>
      <c r="H1937" s="12"/>
      <c r="I1937" s="62"/>
      <c r="J1937" s="27"/>
      <c r="K1937" s="62"/>
      <c r="L1937" s="12"/>
      <c r="M1937" s="191"/>
      <c r="N1937" s="130"/>
    </row>
    <row r="1938" spans="1:14" x14ac:dyDescent="0.25">
      <c r="A1938" s="63" t="s">
        <v>570</v>
      </c>
      <c r="B1938" s="74" t="s">
        <v>3454</v>
      </c>
      <c r="C1938" s="2">
        <v>4099854258572</v>
      </c>
      <c r="D1938" s="93"/>
      <c r="E1938" s="61"/>
      <c r="G1938" s="156" t="str">
        <f>HYPERLINK("https://ledvance.com/pt/product-datasheet/296145/291021","Ficha Técnica")</f>
        <v>Ficha Técnica</v>
      </c>
      <c r="H1938" s="15">
        <v>10</v>
      </c>
      <c r="I1938" s="163">
        <v>2600</v>
      </c>
      <c r="J1938" s="15">
        <v>14</v>
      </c>
      <c r="K1938" s="163" t="s">
        <v>46</v>
      </c>
      <c r="L1938" s="15">
        <v>2</v>
      </c>
      <c r="M1938" s="193">
        <v>70.2</v>
      </c>
      <c r="N1938" s="173" t="s">
        <v>571</v>
      </c>
    </row>
    <row r="1939" spans="1:14" x14ac:dyDescent="0.25">
      <c r="A1939" s="63" t="s">
        <v>570</v>
      </c>
      <c r="B1939" s="74" t="s">
        <v>1309</v>
      </c>
      <c r="C1939" s="2">
        <v>4099854258596</v>
      </c>
      <c r="D1939" s="93"/>
      <c r="E1939" s="61"/>
      <c r="G1939" s="156" t="str">
        <f>HYPERLINK("https://ledvance.com/pt/product-datasheet/296145/291024","Ficha Técnica")</f>
        <v>Ficha Técnica</v>
      </c>
      <c r="H1939" s="15">
        <v>10</v>
      </c>
      <c r="I1939" s="163">
        <v>4100</v>
      </c>
      <c r="J1939" s="15" t="s">
        <v>1855</v>
      </c>
      <c r="K1939" s="163" t="s">
        <v>46</v>
      </c>
      <c r="L1939" s="15">
        <v>2</v>
      </c>
      <c r="M1939" s="193">
        <v>82.5</v>
      </c>
      <c r="N1939" s="173" t="s">
        <v>571</v>
      </c>
    </row>
    <row r="1940" spans="1:14" x14ac:dyDescent="0.25">
      <c r="A1940" s="66" t="s">
        <v>570</v>
      </c>
      <c r="B1940" s="69" t="s">
        <v>1310</v>
      </c>
      <c r="C1940" s="51"/>
      <c r="D1940" s="65"/>
      <c r="E1940" s="86"/>
      <c r="F1940" s="12"/>
      <c r="G1940" s="157"/>
      <c r="H1940" s="12"/>
      <c r="I1940" s="62"/>
      <c r="J1940" s="27"/>
      <c r="K1940" s="62"/>
      <c r="L1940" s="12"/>
      <c r="M1940" s="191"/>
      <c r="N1940" s="130"/>
    </row>
    <row r="1941" spans="1:14" x14ac:dyDescent="0.25">
      <c r="A1941" s="63" t="s">
        <v>570</v>
      </c>
      <c r="B1941" s="74" t="s">
        <v>3455</v>
      </c>
      <c r="C1941" s="2">
        <v>4099854258633</v>
      </c>
      <c r="D1941" s="93"/>
      <c r="E1941" s="61"/>
      <c r="G1941" s="156" t="str">
        <f>HYPERLINK("https://ledvance.com/pt/product-datasheet/296146/291027","Ficha Técnica")</f>
        <v>Ficha Técnica</v>
      </c>
      <c r="H1941" s="15">
        <v>10</v>
      </c>
      <c r="I1941" s="163">
        <v>2600</v>
      </c>
      <c r="J1941" s="15">
        <v>14</v>
      </c>
      <c r="K1941" s="163" t="s">
        <v>46</v>
      </c>
      <c r="L1941" s="15">
        <v>5</v>
      </c>
      <c r="M1941" s="193">
        <v>61.8</v>
      </c>
      <c r="N1941" s="173" t="s">
        <v>571</v>
      </c>
    </row>
    <row r="1942" spans="1:14" x14ac:dyDescent="0.25">
      <c r="A1942" s="63" t="s">
        <v>570</v>
      </c>
      <c r="B1942" s="74" t="s">
        <v>1311</v>
      </c>
      <c r="C1942" s="2">
        <v>4099854258671</v>
      </c>
      <c r="D1942" s="93"/>
      <c r="E1942" s="61"/>
      <c r="G1942" s="156" t="str">
        <f>HYPERLINK("https://ledvance.com/pt/product-datasheet/296146/291030","Ficha Técnica")</f>
        <v>Ficha Técnica</v>
      </c>
      <c r="H1942" s="15">
        <v>10</v>
      </c>
      <c r="I1942" s="163">
        <v>4100</v>
      </c>
      <c r="J1942" s="15" t="s">
        <v>1855</v>
      </c>
      <c r="K1942" s="163" t="s">
        <v>46</v>
      </c>
      <c r="L1942" s="15">
        <v>5</v>
      </c>
      <c r="M1942" s="193">
        <v>74.2</v>
      </c>
      <c r="N1942" s="173" t="s">
        <v>571</v>
      </c>
    </row>
    <row r="1943" spans="1:14" x14ac:dyDescent="0.25">
      <c r="A1943" s="66" t="s">
        <v>570</v>
      </c>
      <c r="B1943" s="69" t="s">
        <v>1312</v>
      </c>
      <c r="C1943" s="51"/>
      <c r="D1943" s="65"/>
      <c r="E1943" s="86"/>
      <c r="F1943" s="12"/>
      <c r="G1943" s="157"/>
      <c r="H1943" s="12"/>
      <c r="I1943" s="62"/>
      <c r="J1943" s="27"/>
      <c r="K1943" s="62"/>
      <c r="L1943" s="12"/>
      <c r="M1943" s="191"/>
      <c r="N1943" s="130"/>
    </row>
    <row r="1944" spans="1:14" x14ac:dyDescent="0.25">
      <c r="A1944" s="63" t="s">
        <v>570</v>
      </c>
      <c r="B1944" s="74" t="s">
        <v>3456</v>
      </c>
      <c r="C1944" s="2">
        <v>4099854223310</v>
      </c>
      <c r="D1944" s="93"/>
      <c r="E1944" s="61"/>
      <c r="G1944" s="156" t="str">
        <f>HYPERLINK("https://ledvance.com/pt/product-datasheet/286635/281461","Ficha Técnica")</f>
        <v>Ficha Técnica</v>
      </c>
      <c r="H1944" s="15">
        <v>10</v>
      </c>
      <c r="I1944" s="163">
        <v>2100</v>
      </c>
      <c r="J1944" s="15">
        <v>10</v>
      </c>
      <c r="K1944" s="163" t="s">
        <v>46</v>
      </c>
      <c r="L1944" s="15">
        <v>10</v>
      </c>
      <c r="M1944" s="193">
        <v>37.299999999999997</v>
      </c>
      <c r="N1944" s="173" t="s">
        <v>571</v>
      </c>
    </row>
    <row r="1945" spans="1:14" x14ac:dyDescent="0.25">
      <c r="A1945" s="63" t="s">
        <v>570</v>
      </c>
      <c r="B1945" s="74" t="s">
        <v>3457</v>
      </c>
      <c r="C1945" s="2">
        <v>4099854223334</v>
      </c>
      <c r="D1945" s="93"/>
      <c r="E1945" s="61"/>
      <c r="G1945" s="156" t="str">
        <f>HYPERLINK("https://ledvance.com/pt/product-datasheet/286635/281464","Ficha Técnica")</f>
        <v>Ficha Técnica</v>
      </c>
      <c r="H1945" s="15">
        <v>10</v>
      </c>
      <c r="I1945" s="163">
        <v>3700</v>
      </c>
      <c r="J1945" s="15" t="s">
        <v>1856</v>
      </c>
      <c r="K1945" s="163" t="s">
        <v>46</v>
      </c>
      <c r="L1945" s="15">
        <v>10</v>
      </c>
      <c r="M1945" s="193">
        <v>45.6</v>
      </c>
      <c r="N1945" s="173" t="s">
        <v>571</v>
      </c>
    </row>
    <row r="1946" spans="1:14" x14ac:dyDescent="0.25">
      <c r="A1946" s="66" t="s">
        <v>570</v>
      </c>
      <c r="B1946" s="69" t="s">
        <v>1313</v>
      </c>
      <c r="C1946" s="51"/>
      <c r="D1946" s="65"/>
      <c r="E1946" s="86"/>
      <c r="F1946" s="12"/>
      <c r="G1946" s="157"/>
      <c r="H1946" s="12"/>
      <c r="I1946" s="62"/>
      <c r="J1946" s="27"/>
      <c r="K1946" s="62"/>
      <c r="L1946" s="12"/>
      <c r="M1946" s="191"/>
      <c r="N1946" s="130"/>
    </row>
    <row r="1947" spans="1:14" x14ac:dyDescent="0.25">
      <c r="A1947" s="63" t="s">
        <v>570</v>
      </c>
      <c r="B1947" s="74" t="s">
        <v>3458</v>
      </c>
      <c r="C1947" s="2">
        <v>4099854271472</v>
      </c>
      <c r="D1947" s="93"/>
      <c r="E1947" s="61"/>
      <c r="G1947" s="156" t="str">
        <f>HYPERLINK("https://ledvance.com/pt/product-datasheet/296151/295176","Ficha Técnica")</f>
        <v>Ficha Técnica</v>
      </c>
      <c r="H1947" s="15">
        <v>10</v>
      </c>
      <c r="I1947" s="163">
        <v>2000</v>
      </c>
      <c r="J1947" s="15">
        <v>18</v>
      </c>
      <c r="K1947" s="163" t="s">
        <v>46</v>
      </c>
      <c r="L1947" s="15"/>
      <c r="M1947" s="193">
        <v>53.7</v>
      </c>
      <c r="N1947" s="173" t="s">
        <v>571</v>
      </c>
    </row>
    <row r="1948" spans="1:14" x14ac:dyDescent="0.25">
      <c r="A1948" s="63" t="s">
        <v>570</v>
      </c>
      <c r="B1948" s="74" t="s">
        <v>3459</v>
      </c>
      <c r="C1948" s="2">
        <v>4099854271496</v>
      </c>
      <c r="D1948" s="93"/>
      <c r="E1948" s="61"/>
      <c r="G1948" s="156" t="str">
        <f>HYPERLINK("https://ledvance.com/pt/product-datasheet/296151/295179","Ficha Técnica")</f>
        <v>Ficha Técnica</v>
      </c>
      <c r="H1948" s="15">
        <v>10</v>
      </c>
      <c r="I1948" s="163">
        <v>2500</v>
      </c>
      <c r="J1948" s="15">
        <v>23</v>
      </c>
      <c r="K1948" s="163" t="s">
        <v>46</v>
      </c>
      <c r="L1948" s="15"/>
      <c r="M1948" s="193">
        <v>61.9</v>
      </c>
      <c r="N1948" s="173" t="s">
        <v>571</v>
      </c>
    </row>
    <row r="1949" spans="1:14" x14ac:dyDescent="0.25">
      <c r="A1949" s="66" t="s">
        <v>570</v>
      </c>
      <c r="B1949" s="73" t="s">
        <v>574</v>
      </c>
      <c r="C1949" s="52"/>
      <c r="D1949" s="65"/>
      <c r="E1949" s="92"/>
      <c r="F1949" s="12"/>
      <c r="G1949" s="157"/>
      <c r="H1949" s="12"/>
      <c r="I1949" s="62"/>
      <c r="J1949" s="27"/>
      <c r="K1949" s="62"/>
      <c r="L1949" s="12"/>
      <c r="M1949" s="191"/>
      <c r="N1949" s="130"/>
    </row>
    <row r="1950" spans="1:14" x14ac:dyDescent="0.25">
      <c r="A1950" s="63" t="s">
        <v>570</v>
      </c>
      <c r="B1950" s="74" t="s">
        <v>3460</v>
      </c>
      <c r="C1950" s="2">
        <v>4099854037092</v>
      </c>
      <c r="D1950" s="93"/>
      <c r="E1950" s="61"/>
      <c r="F1950" s="25"/>
      <c r="G1950" s="156" t="str">
        <f>HYPERLINK("https://ledvance.com/pt/product-datasheet/246813/233236","Ficha Técnica")</f>
        <v>Ficha Técnica</v>
      </c>
      <c r="H1950" s="15">
        <v>10</v>
      </c>
      <c r="I1950" s="163">
        <v>2340</v>
      </c>
      <c r="J1950" s="15">
        <v>14</v>
      </c>
      <c r="K1950" s="163" t="s">
        <v>46</v>
      </c>
      <c r="L1950" s="15">
        <v>5</v>
      </c>
      <c r="M1950" s="193">
        <v>19.3</v>
      </c>
      <c r="N1950" s="173" t="s">
        <v>571</v>
      </c>
    </row>
    <row r="1951" spans="1:14" x14ac:dyDescent="0.25">
      <c r="A1951" s="63" t="s">
        <v>570</v>
      </c>
      <c r="B1951" s="74" t="s">
        <v>3461</v>
      </c>
      <c r="C1951" s="2">
        <v>4099854037115</v>
      </c>
      <c r="D1951" s="93"/>
      <c r="E1951" s="61"/>
      <c r="F1951" s="25"/>
      <c r="G1951" s="156" t="str">
        <f>HYPERLINK("https://ledvance.com/pt/product-datasheet/246813/233239","Ficha Técnica")</f>
        <v>Ficha Técnica</v>
      </c>
      <c r="H1951" s="15">
        <v>10</v>
      </c>
      <c r="I1951" s="163">
        <v>2600</v>
      </c>
      <c r="J1951" s="15">
        <v>14</v>
      </c>
      <c r="K1951" s="163" t="s">
        <v>46</v>
      </c>
      <c r="L1951" s="15">
        <v>5</v>
      </c>
      <c r="M1951" s="193">
        <v>19.3</v>
      </c>
      <c r="N1951" s="173" t="s">
        <v>571</v>
      </c>
    </row>
    <row r="1952" spans="1:14" x14ac:dyDescent="0.25">
      <c r="A1952" s="63" t="s">
        <v>570</v>
      </c>
      <c r="B1952" s="74" t="s">
        <v>3462</v>
      </c>
      <c r="C1952" s="2">
        <v>4099854037177</v>
      </c>
      <c r="D1952" s="93"/>
      <c r="E1952" s="61"/>
      <c r="F1952" s="25"/>
      <c r="G1952" s="156" t="str">
        <f>HYPERLINK("https://ledvance.com/pt/product-datasheet/246813/233242","Ficha Técnica")</f>
        <v>Ficha Técnica</v>
      </c>
      <c r="H1952" s="15">
        <v>10</v>
      </c>
      <c r="I1952" s="163">
        <v>2600</v>
      </c>
      <c r="J1952" s="15">
        <v>14</v>
      </c>
      <c r="K1952" s="163" t="s">
        <v>46</v>
      </c>
      <c r="L1952" s="15">
        <v>5</v>
      </c>
      <c r="M1952" s="193">
        <v>19.3</v>
      </c>
      <c r="N1952" s="173" t="s">
        <v>571</v>
      </c>
    </row>
    <row r="1953" spans="1:14" x14ac:dyDescent="0.25">
      <c r="A1953" s="63" t="s">
        <v>570</v>
      </c>
      <c r="B1953" s="74" t="s">
        <v>3463</v>
      </c>
      <c r="C1953" s="2">
        <v>4099854037191</v>
      </c>
      <c r="D1953" s="93"/>
      <c r="E1953" s="61"/>
      <c r="F1953" s="25"/>
      <c r="G1953" s="156" t="str">
        <f>HYPERLINK("https://ledvance.com/pt/product-datasheet/246813/233245","Ficha Técnica")</f>
        <v>Ficha Técnica</v>
      </c>
      <c r="H1953" s="15">
        <v>10</v>
      </c>
      <c r="I1953" s="163">
        <v>2600</v>
      </c>
      <c r="J1953" s="15">
        <v>14</v>
      </c>
      <c r="K1953" s="163" t="s">
        <v>46</v>
      </c>
      <c r="L1953" s="15">
        <v>5</v>
      </c>
      <c r="M1953" s="193">
        <v>19.3</v>
      </c>
      <c r="N1953" s="173" t="s">
        <v>571</v>
      </c>
    </row>
    <row r="1954" spans="1:14" x14ac:dyDescent="0.25">
      <c r="A1954" s="63" t="s">
        <v>570</v>
      </c>
      <c r="B1954" s="74" t="s">
        <v>3464</v>
      </c>
      <c r="C1954" s="2">
        <v>4099854037214</v>
      </c>
      <c r="D1954" s="93"/>
      <c r="E1954" s="61"/>
      <c r="F1954" s="25"/>
      <c r="G1954" s="156" t="str">
        <f>HYPERLINK("https://ledvance.com/pt/product-datasheet/246813/233248","Ficha Técnica")</f>
        <v>Ficha Técnica</v>
      </c>
      <c r="H1954" s="15">
        <v>10</v>
      </c>
      <c r="I1954" s="163">
        <v>3690</v>
      </c>
      <c r="J1954" s="15" t="s">
        <v>1857</v>
      </c>
      <c r="K1954" s="163" t="s">
        <v>46</v>
      </c>
      <c r="L1954" s="15">
        <v>5</v>
      </c>
      <c r="M1954" s="193">
        <v>24.4</v>
      </c>
      <c r="N1954" s="173" t="s">
        <v>571</v>
      </c>
    </row>
    <row r="1955" spans="1:14" x14ac:dyDescent="0.25">
      <c r="A1955" s="63" t="s">
        <v>570</v>
      </c>
      <c r="B1955" s="74" t="s">
        <v>3465</v>
      </c>
      <c r="C1955" s="2">
        <v>4099854037238</v>
      </c>
      <c r="D1955" s="93"/>
      <c r="E1955" s="61"/>
      <c r="F1955" s="25"/>
      <c r="G1955" s="156" t="str">
        <f>HYPERLINK("https://ledvance.com/pt/product-datasheet/246813/233251","Ficha Técnica")</f>
        <v>Ficha Técnica</v>
      </c>
      <c r="H1955" s="15">
        <v>10</v>
      </c>
      <c r="I1955" s="163">
        <v>4100</v>
      </c>
      <c r="J1955" s="15" t="s">
        <v>1855</v>
      </c>
      <c r="K1955" s="163" t="s">
        <v>46</v>
      </c>
      <c r="L1955" s="15">
        <v>5</v>
      </c>
      <c r="M1955" s="193">
        <v>24.4</v>
      </c>
      <c r="N1955" s="173" t="s">
        <v>571</v>
      </c>
    </row>
    <row r="1956" spans="1:14" x14ac:dyDescent="0.25">
      <c r="A1956" s="63" t="s">
        <v>570</v>
      </c>
      <c r="B1956" s="74" t="s">
        <v>3466</v>
      </c>
      <c r="C1956" s="2">
        <v>4099854037252</v>
      </c>
      <c r="D1956" s="93"/>
      <c r="E1956" s="61"/>
      <c r="F1956" s="25"/>
      <c r="G1956" s="156" t="str">
        <f>HYPERLINK("https://ledvance.com/pt/product-datasheet/246813/233254","Ficha Técnica")</f>
        <v>Ficha Técnica</v>
      </c>
      <c r="H1956" s="15">
        <v>10</v>
      </c>
      <c r="I1956" s="163">
        <v>4100</v>
      </c>
      <c r="J1956" s="15" t="s">
        <v>1855</v>
      </c>
      <c r="K1956" s="163" t="s">
        <v>46</v>
      </c>
      <c r="L1956" s="15">
        <v>5</v>
      </c>
      <c r="M1956" s="193">
        <v>24.4</v>
      </c>
      <c r="N1956" s="173" t="s">
        <v>571</v>
      </c>
    </row>
    <row r="1957" spans="1:14" x14ac:dyDescent="0.25">
      <c r="A1957" s="63" t="s">
        <v>570</v>
      </c>
      <c r="B1957" s="74" t="s">
        <v>3467</v>
      </c>
      <c r="C1957" s="2">
        <v>4099854037276</v>
      </c>
      <c r="D1957" s="93"/>
      <c r="E1957" s="61"/>
      <c r="F1957" s="25"/>
      <c r="G1957" s="156" t="str">
        <f>HYPERLINK("https://ledvance.com/pt/product-datasheet/246813/233257","Ficha Técnica")</f>
        <v>Ficha Técnica</v>
      </c>
      <c r="H1957" s="15">
        <v>10</v>
      </c>
      <c r="I1957" s="163">
        <v>4100</v>
      </c>
      <c r="J1957" s="15" t="s">
        <v>1855</v>
      </c>
      <c r="K1957" s="163" t="s">
        <v>46</v>
      </c>
      <c r="L1957" s="15">
        <v>5</v>
      </c>
      <c r="M1957" s="193">
        <v>24.4</v>
      </c>
      <c r="N1957" s="173" t="s">
        <v>571</v>
      </c>
    </row>
    <row r="1958" spans="1:14" x14ac:dyDescent="0.25">
      <c r="A1958" s="66" t="s">
        <v>570</v>
      </c>
      <c r="B1958" s="73" t="s">
        <v>575</v>
      </c>
      <c r="C1958" s="52"/>
      <c r="D1958" s="65"/>
      <c r="E1958" s="92"/>
      <c r="F1958" s="12"/>
      <c r="G1958" s="157"/>
      <c r="H1958" s="12"/>
      <c r="I1958" s="62"/>
      <c r="J1958" s="27"/>
      <c r="K1958" s="62"/>
      <c r="L1958" s="12"/>
      <c r="M1958" s="191"/>
      <c r="N1958" s="130"/>
    </row>
    <row r="1959" spans="1:14" x14ac:dyDescent="0.25">
      <c r="A1959" s="63" t="s">
        <v>570</v>
      </c>
      <c r="B1959" s="74" t="s">
        <v>3468</v>
      </c>
      <c r="C1959" s="2">
        <v>4099854037290</v>
      </c>
      <c r="D1959" s="93"/>
      <c r="E1959" s="61"/>
      <c r="F1959" s="25"/>
      <c r="G1959" s="156" t="str">
        <f>HYPERLINK("https://ledvance.com/pt/product-datasheet/246813/233260","Ficha Técnica")</f>
        <v>Ficha Técnica</v>
      </c>
      <c r="H1959" s="15">
        <v>10</v>
      </c>
      <c r="I1959" s="163">
        <v>2600</v>
      </c>
      <c r="J1959" s="15">
        <v>14</v>
      </c>
      <c r="K1959" s="163" t="s">
        <v>46</v>
      </c>
      <c r="L1959" s="15">
        <v>5</v>
      </c>
      <c r="M1959" s="193">
        <v>19.3</v>
      </c>
      <c r="N1959" s="173" t="s">
        <v>571</v>
      </c>
    </row>
    <row r="1960" spans="1:14" x14ac:dyDescent="0.25">
      <c r="A1960" s="63" t="s">
        <v>570</v>
      </c>
      <c r="B1960" s="74" t="s">
        <v>3469</v>
      </c>
      <c r="C1960" s="2">
        <v>4099854037313</v>
      </c>
      <c r="D1960" s="93"/>
      <c r="E1960" s="61"/>
      <c r="F1960" s="25"/>
      <c r="G1960" s="156" t="str">
        <f>HYPERLINK("https://ledvance.com/pt/product-datasheet/246813/233263","Ficha Técnica")</f>
        <v>Ficha Técnica</v>
      </c>
      <c r="H1960" s="15">
        <v>10</v>
      </c>
      <c r="I1960" s="163">
        <v>4100</v>
      </c>
      <c r="J1960" s="15" t="s">
        <v>1855</v>
      </c>
      <c r="K1960" s="163" t="s">
        <v>46</v>
      </c>
      <c r="L1960" s="15">
        <v>5</v>
      </c>
      <c r="M1960" s="193">
        <v>24.4</v>
      </c>
      <c r="N1960" s="173" t="s">
        <v>571</v>
      </c>
    </row>
    <row r="1961" spans="1:14" x14ac:dyDescent="0.25">
      <c r="A1961" s="66" t="s">
        <v>570</v>
      </c>
      <c r="B1961" s="73" t="s">
        <v>576</v>
      </c>
      <c r="C1961" s="52"/>
      <c r="D1961" s="65"/>
      <c r="E1961" s="92"/>
      <c r="F1961" s="12"/>
      <c r="G1961" s="157"/>
      <c r="H1961" s="12"/>
      <c r="I1961" s="62"/>
      <c r="J1961" s="27"/>
      <c r="K1961" s="62"/>
      <c r="L1961" s="12"/>
      <c r="M1961" s="191"/>
      <c r="N1961" s="130"/>
    </row>
    <row r="1962" spans="1:14" x14ac:dyDescent="0.25">
      <c r="A1962" s="63" t="s">
        <v>570</v>
      </c>
      <c r="B1962" s="74" t="s">
        <v>3470</v>
      </c>
      <c r="C1962" s="2">
        <v>4099854037337</v>
      </c>
      <c r="D1962" s="118"/>
      <c r="E1962" s="119"/>
      <c r="F1962" s="25"/>
      <c r="G1962" s="156" t="str">
        <f>HYPERLINK("https://ledvance.com/pt/product-datasheet/246821/233266","Ficha Técnica")</f>
        <v>Ficha Técnica</v>
      </c>
      <c r="H1962" s="15">
        <v>10</v>
      </c>
      <c r="I1962" s="163">
        <v>810</v>
      </c>
      <c r="J1962" s="15" t="s">
        <v>1858</v>
      </c>
      <c r="K1962" s="163" t="s">
        <v>46</v>
      </c>
      <c r="L1962" s="15">
        <v>5</v>
      </c>
      <c r="M1962" s="193">
        <v>12</v>
      </c>
      <c r="N1962" s="173" t="s">
        <v>571</v>
      </c>
    </row>
    <row r="1963" spans="1:14" x14ac:dyDescent="0.25">
      <c r="A1963" s="63" t="s">
        <v>570</v>
      </c>
      <c r="B1963" s="74" t="s">
        <v>3471</v>
      </c>
      <c r="C1963" s="2">
        <v>4099854037351</v>
      </c>
      <c r="D1963" s="118"/>
      <c r="E1963" s="119"/>
      <c r="F1963" s="25"/>
      <c r="G1963" s="156" t="str">
        <f>HYPERLINK("https://ledvance.com/pt/product-datasheet/246821/233269","Ficha Técnica")</f>
        <v>Ficha Técnica</v>
      </c>
      <c r="H1963" s="15">
        <v>10</v>
      </c>
      <c r="I1963" s="163">
        <v>900</v>
      </c>
      <c r="J1963" s="15" t="s">
        <v>1858</v>
      </c>
      <c r="K1963" s="163" t="s">
        <v>46</v>
      </c>
      <c r="L1963" s="15">
        <v>5</v>
      </c>
      <c r="M1963" s="193">
        <v>12</v>
      </c>
      <c r="N1963" s="173" t="s">
        <v>571</v>
      </c>
    </row>
    <row r="1964" spans="1:14" x14ac:dyDescent="0.25">
      <c r="A1964" s="63" t="s">
        <v>570</v>
      </c>
      <c r="B1964" s="74" t="s">
        <v>3472</v>
      </c>
      <c r="C1964" s="2">
        <v>4099854037375</v>
      </c>
      <c r="D1964" s="118"/>
      <c r="E1964" s="119"/>
      <c r="F1964" s="25"/>
      <c r="G1964" s="156" t="str">
        <f>HYPERLINK("https://ledvance.com/pt/product-datasheet/246821/233272","Ficha Técnica")</f>
        <v>Ficha Técnica</v>
      </c>
      <c r="H1964" s="15">
        <v>10</v>
      </c>
      <c r="I1964" s="163">
        <v>900</v>
      </c>
      <c r="J1964" s="15" t="s">
        <v>1858</v>
      </c>
      <c r="K1964" s="163" t="s">
        <v>46</v>
      </c>
      <c r="L1964" s="15">
        <v>5</v>
      </c>
      <c r="M1964" s="193">
        <v>12</v>
      </c>
      <c r="N1964" s="173" t="s">
        <v>571</v>
      </c>
    </row>
    <row r="1965" spans="1:14" x14ac:dyDescent="0.25">
      <c r="A1965" s="63" t="s">
        <v>570</v>
      </c>
      <c r="B1965" s="74" t="s">
        <v>3473</v>
      </c>
      <c r="C1965" s="2">
        <v>4099854037399</v>
      </c>
      <c r="D1965" s="118"/>
      <c r="E1965" s="119"/>
      <c r="F1965" s="25"/>
      <c r="G1965" s="156" t="str">
        <f>HYPERLINK("https://ledvance.com/pt/product-datasheet/246821/233275","Ficha Técnica")</f>
        <v>Ficha Técnica</v>
      </c>
      <c r="H1965" s="15">
        <v>10</v>
      </c>
      <c r="I1965" s="163">
        <v>990</v>
      </c>
      <c r="J1965" s="15" t="s">
        <v>1859</v>
      </c>
      <c r="K1965" s="163" t="s">
        <v>46</v>
      </c>
      <c r="L1965" s="15">
        <v>5</v>
      </c>
      <c r="M1965" s="193">
        <v>12.4</v>
      </c>
      <c r="N1965" s="173" t="s">
        <v>571</v>
      </c>
    </row>
    <row r="1966" spans="1:14" x14ac:dyDescent="0.25">
      <c r="A1966" s="63" t="s">
        <v>570</v>
      </c>
      <c r="B1966" s="74" t="s">
        <v>3474</v>
      </c>
      <c r="C1966" s="2">
        <v>4099854037412</v>
      </c>
      <c r="D1966" s="118"/>
      <c r="E1966" s="119"/>
      <c r="F1966" s="25"/>
      <c r="G1966" s="156" t="str">
        <f>HYPERLINK("https://ledvance.com/pt/product-datasheet/246821/233278","Ficha Técnica")</f>
        <v>Ficha Técnica</v>
      </c>
      <c r="H1966" s="15">
        <v>10</v>
      </c>
      <c r="I1966" s="163">
        <v>1100</v>
      </c>
      <c r="J1966" s="15" t="s">
        <v>1859</v>
      </c>
      <c r="K1966" s="163" t="s">
        <v>46</v>
      </c>
      <c r="L1966" s="15">
        <v>5</v>
      </c>
      <c r="M1966" s="193">
        <v>12.4</v>
      </c>
      <c r="N1966" s="173" t="s">
        <v>571</v>
      </c>
    </row>
    <row r="1967" spans="1:14" x14ac:dyDescent="0.25">
      <c r="A1967" s="63" t="s">
        <v>570</v>
      </c>
      <c r="B1967" s="74" t="s">
        <v>3475</v>
      </c>
      <c r="C1967" s="2">
        <v>4099854037436</v>
      </c>
      <c r="D1967" s="118"/>
      <c r="E1967" s="119"/>
      <c r="F1967" s="25"/>
      <c r="G1967" s="156" t="str">
        <f>HYPERLINK("https://ledvance.com/pt/product-datasheet/246821/233281","Ficha Técnica")</f>
        <v>Ficha Técnica</v>
      </c>
      <c r="H1967" s="15">
        <v>10</v>
      </c>
      <c r="I1967" s="163">
        <v>1100</v>
      </c>
      <c r="J1967" s="15" t="s">
        <v>1859</v>
      </c>
      <c r="K1967" s="163" t="s">
        <v>46</v>
      </c>
      <c r="L1967" s="15">
        <v>5</v>
      </c>
      <c r="M1967" s="193">
        <v>12.4</v>
      </c>
      <c r="N1967" s="173" t="s">
        <v>571</v>
      </c>
    </row>
    <row r="1968" spans="1:14" x14ac:dyDescent="0.25">
      <c r="A1968" s="63" t="s">
        <v>570</v>
      </c>
      <c r="B1968" s="74" t="s">
        <v>3476</v>
      </c>
      <c r="C1968" s="2">
        <v>4099854037450</v>
      </c>
      <c r="D1968" s="118"/>
      <c r="E1968" s="119"/>
      <c r="F1968" s="25"/>
      <c r="G1968" s="156" t="str">
        <f>HYPERLINK("https://ledvance.com/pt/product-datasheet/246821/233284","Ficha Técnica")</f>
        <v>Ficha Técnica</v>
      </c>
      <c r="H1968" s="15">
        <v>10</v>
      </c>
      <c r="I1968" s="163">
        <v>1530</v>
      </c>
      <c r="J1968" s="15" t="s">
        <v>1860</v>
      </c>
      <c r="K1968" s="163" t="s">
        <v>46</v>
      </c>
      <c r="L1968" s="15">
        <v>5</v>
      </c>
      <c r="M1968" s="193">
        <v>12.9</v>
      </c>
      <c r="N1968" s="173" t="s">
        <v>571</v>
      </c>
    </row>
    <row r="1969" spans="1:14" x14ac:dyDescent="0.25">
      <c r="A1969" s="63" t="s">
        <v>570</v>
      </c>
      <c r="B1969" s="74" t="s">
        <v>3477</v>
      </c>
      <c r="C1969" s="2">
        <v>4099854037474</v>
      </c>
      <c r="D1969" s="118"/>
      <c r="E1969" s="119"/>
      <c r="F1969" s="25"/>
      <c r="G1969" s="156" t="str">
        <f>HYPERLINK("https://ledvance.com/pt/product-datasheet/246821/233287","Ficha Técnica")</f>
        <v>Ficha Técnica</v>
      </c>
      <c r="H1969" s="15">
        <v>10</v>
      </c>
      <c r="I1969" s="163">
        <v>1700</v>
      </c>
      <c r="J1969" s="15" t="s">
        <v>1860</v>
      </c>
      <c r="K1969" s="163" t="s">
        <v>46</v>
      </c>
      <c r="L1969" s="15">
        <v>5</v>
      </c>
      <c r="M1969" s="193">
        <v>12.9</v>
      </c>
      <c r="N1969" s="173" t="s">
        <v>571</v>
      </c>
    </row>
    <row r="1970" spans="1:14" x14ac:dyDescent="0.25">
      <c r="A1970" s="63" t="s">
        <v>570</v>
      </c>
      <c r="B1970" s="74" t="s">
        <v>3478</v>
      </c>
      <c r="C1970" s="2">
        <v>4099854037498</v>
      </c>
      <c r="D1970" s="118"/>
      <c r="E1970" s="119"/>
      <c r="F1970" s="25"/>
      <c r="G1970" s="156" t="str">
        <f>HYPERLINK("https://ledvance.com/pt/product-datasheet/246821/233290","Ficha Técnica")</f>
        <v>Ficha Técnica</v>
      </c>
      <c r="H1970" s="15">
        <v>10</v>
      </c>
      <c r="I1970" s="163">
        <v>1700</v>
      </c>
      <c r="J1970" s="15" t="s">
        <v>1860</v>
      </c>
      <c r="K1970" s="163" t="s">
        <v>46</v>
      </c>
      <c r="L1970" s="15">
        <v>5</v>
      </c>
      <c r="M1970" s="193">
        <v>12.9</v>
      </c>
      <c r="N1970" s="173" t="s">
        <v>571</v>
      </c>
    </row>
    <row r="1971" spans="1:14" x14ac:dyDescent="0.25">
      <c r="A1971" s="63" t="s">
        <v>570</v>
      </c>
      <c r="B1971" s="74" t="s">
        <v>3479</v>
      </c>
      <c r="C1971" s="2">
        <v>4099854037511</v>
      </c>
      <c r="D1971" s="118"/>
      <c r="E1971" s="119"/>
      <c r="F1971" s="25"/>
      <c r="G1971" s="156" t="str">
        <f>HYPERLINK("https://ledvance.com/pt/product-datasheet/246821/233293","Ficha Técnica")</f>
        <v>Ficha Técnica</v>
      </c>
      <c r="H1971" s="15">
        <v>10</v>
      </c>
      <c r="I1971" s="163">
        <v>1800</v>
      </c>
      <c r="J1971" s="15" t="s">
        <v>1861</v>
      </c>
      <c r="K1971" s="163" t="s">
        <v>46</v>
      </c>
      <c r="L1971" s="15">
        <v>5</v>
      </c>
      <c r="M1971" s="193">
        <v>14.6</v>
      </c>
      <c r="N1971" s="173" t="s">
        <v>571</v>
      </c>
    </row>
    <row r="1972" spans="1:14" x14ac:dyDescent="0.25">
      <c r="A1972" s="63" t="s">
        <v>570</v>
      </c>
      <c r="B1972" s="74" t="s">
        <v>3480</v>
      </c>
      <c r="C1972" s="2">
        <v>4099854037535</v>
      </c>
      <c r="D1972" s="118"/>
      <c r="E1972" s="119"/>
      <c r="F1972" s="25"/>
      <c r="G1972" s="156" t="str">
        <f>HYPERLINK("https://ledvance.com/pt/product-datasheet/246821/233296","Ficha Técnica")</f>
        <v>Ficha Técnica</v>
      </c>
      <c r="H1972" s="15">
        <v>10</v>
      </c>
      <c r="I1972" s="163">
        <v>2000</v>
      </c>
      <c r="J1972" s="15" t="s">
        <v>1861</v>
      </c>
      <c r="K1972" s="163" t="s">
        <v>46</v>
      </c>
      <c r="L1972" s="15">
        <v>5</v>
      </c>
      <c r="M1972" s="193">
        <v>14.6</v>
      </c>
      <c r="N1972" s="173" t="s">
        <v>571</v>
      </c>
    </row>
    <row r="1973" spans="1:14" x14ac:dyDescent="0.25">
      <c r="A1973" s="63" t="s">
        <v>570</v>
      </c>
      <c r="B1973" s="74" t="s">
        <v>3481</v>
      </c>
      <c r="C1973" s="2">
        <v>4099854037559</v>
      </c>
      <c r="D1973" s="118"/>
      <c r="E1973" s="119"/>
      <c r="F1973" s="25"/>
      <c r="G1973" s="156" t="str">
        <f>HYPERLINK("https://ledvance.com/pt/product-datasheet/246821/233299","Ficha Técnica")</f>
        <v>Ficha Técnica</v>
      </c>
      <c r="H1973" s="15">
        <v>10</v>
      </c>
      <c r="I1973" s="163">
        <v>2000</v>
      </c>
      <c r="J1973" s="15" t="s">
        <v>1861</v>
      </c>
      <c r="K1973" s="163" t="s">
        <v>46</v>
      </c>
      <c r="L1973" s="15">
        <v>5</v>
      </c>
      <c r="M1973" s="193">
        <v>14.6</v>
      </c>
      <c r="N1973" s="173" t="s">
        <v>571</v>
      </c>
    </row>
    <row r="1974" spans="1:14" x14ac:dyDescent="0.25">
      <c r="A1974" s="63" t="s">
        <v>570</v>
      </c>
      <c r="B1974" s="74" t="s">
        <v>3482</v>
      </c>
      <c r="C1974" s="2">
        <v>4099854037573</v>
      </c>
      <c r="D1974" s="118"/>
      <c r="E1974" s="119"/>
      <c r="F1974" s="25"/>
      <c r="G1974" s="156" t="str">
        <f>HYPERLINK("https://ledvance.com/pt/product-datasheet/246821/233302","Ficha Técnica")</f>
        <v>Ficha Técnica</v>
      </c>
      <c r="H1974" s="15">
        <v>10</v>
      </c>
      <c r="I1974" s="163">
        <v>1890</v>
      </c>
      <c r="J1974" s="15">
        <v>12</v>
      </c>
      <c r="K1974" s="163" t="s">
        <v>46</v>
      </c>
      <c r="L1974" s="15">
        <v>5</v>
      </c>
      <c r="M1974" s="193">
        <v>15.1</v>
      </c>
      <c r="N1974" s="173" t="s">
        <v>571</v>
      </c>
    </row>
    <row r="1975" spans="1:14" x14ac:dyDescent="0.25">
      <c r="A1975" s="63" t="s">
        <v>570</v>
      </c>
      <c r="B1975" s="74" t="s">
        <v>3483</v>
      </c>
      <c r="C1975" s="2">
        <v>4099854037597</v>
      </c>
      <c r="D1975" s="118"/>
      <c r="E1975" s="119"/>
      <c r="F1975" s="25"/>
      <c r="G1975" s="156" t="str">
        <f>HYPERLINK("https://ledvance.com/pt/product-datasheet/246821/233305","Ficha Técnica")</f>
        <v>Ficha Técnica</v>
      </c>
      <c r="H1975" s="15">
        <v>10</v>
      </c>
      <c r="I1975" s="163">
        <v>2100</v>
      </c>
      <c r="J1975" s="15">
        <v>12</v>
      </c>
      <c r="K1975" s="163" t="s">
        <v>46</v>
      </c>
      <c r="L1975" s="15">
        <v>5</v>
      </c>
      <c r="M1975" s="193">
        <v>15.1</v>
      </c>
      <c r="N1975" s="173" t="s">
        <v>571</v>
      </c>
    </row>
    <row r="1976" spans="1:14" x14ac:dyDescent="0.25">
      <c r="A1976" s="63" t="s">
        <v>570</v>
      </c>
      <c r="B1976" s="74" t="s">
        <v>3484</v>
      </c>
      <c r="C1976" s="2">
        <v>4099854037610</v>
      </c>
      <c r="D1976" s="118"/>
      <c r="E1976" s="119"/>
      <c r="F1976" s="25"/>
      <c r="G1976" s="156" t="str">
        <f>HYPERLINK("https://ledvance.com/pt/product-datasheet/246821/233308","Ficha Técnica")</f>
        <v>Ficha Técnica</v>
      </c>
      <c r="H1976" s="15">
        <v>10</v>
      </c>
      <c r="I1976" s="163">
        <v>2100</v>
      </c>
      <c r="J1976" s="15">
        <v>12</v>
      </c>
      <c r="K1976" s="163" t="s">
        <v>46</v>
      </c>
      <c r="L1976" s="15">
        <v>5</v>
      </c>
      <c r="M1976" s="193">
        <v>15.1</v>
      </c>
      <c r="N1976" s="173" t="s">
        <v>571</v>
      </c>
    </row>
    <row r="1977" spans="1:14" x14ac:dyDescent="0.25">
      <c r="A1977" s="63" t="s">
        <v>570</v>
      </c>
      <c r="B1977" s="74" t="s">
        <v>3485</v>
      </c>
      <c r="C1977" s="2">
        <v>4099854037634</v>
      </c>
      <c r="D1977" s="118"/>
      <c r="E1977" s="119"/>
      <c r="F1977" s="25"/>
      <c r="G1977" s="156" t="str">
        <f>HYPERLINK("https://ledvance.com/pt/product-datasheet/246821/233311","Ficha Técnica")</f>
        <v>Ficha Técnica</v>
      </c>
      <c r="H1977" s="15">
        <v>10</v>
      </c>
      <c r="I1977" s="163">
        <v>2790</v>
      </c>
      <c r="J1977" s="15" t="s">
        <v>1862</v>
      </c>
      <c r="K1977" s="163" t="s">
        <v>46</v>
      </c>
      <c r="L1977" s="15">
        <v>5</v>
      </c>
      <c r="M1977" s="193">
        <v>20.6</v>
      </c>
      <c r="N1977" s="173" t="s">
        <v>571</v>
      </c>
    </row>
    <row r="1978" spans="1:14" x14ac:dyDescent="0.25">
      <c r="A1978" s="63" t="s">
        <v>570</v>
      </c>
      <c r="B1978" s="74" t="s">
        <v>3486</v>
      </c>
      <c r="C1978" s="2">
        <v>4099854037658</v>
      </c>
      <c r="D1978" s="118"/>
      <c r="E1978" s="119"/>
      <c r="F1978" s="25"/>
      <c r="G1978" s="156" t="str">
        <f>HYPERLINK("https://ledvance.com/pt/product-datasheet/246821/233314","Ficha Técnica")</f>
        <v>Ficha Técnica</v>
      </c>
      <c r="H1978" s="15">
        <v>10</v>
      </c>
      <c r="I1978" s="163">
        <v>3100</v>
      </c>
      <c r="J1978" s="15" t="s">
        <v>1862</v>
      </c>
      <c r="K1978" s="163" t="s">
        <v>46</v>
      </c>
      <c r="L1978" s="15">
        <v>5</v>
      </c>
      <c r="M1978" s="193">
        <v>20.6</v>
      </c>
      <c r="N1978" s="173" t="s">
        <v>571</v>
      </c>
    </row>
    <row r="1979" spans="1:14" x14ac:dyDescent="0.25">
      <c r="A1979" s="63" t="s">
        <v>570</v>
      </c>
      <c r="B1979" s="74" t="s">
        <v>3487</v>
      </c>
      <c r="C1979" s="2">
        <v>4099854037672</v>
      </c>
      <c r="D1979" s="118"/>
      <c r="E1979" s="119"/>
      <c r="F1979" s="25"/>
      <c r="G1979" s="156" t="str">
        <f>HYPERLINK("https://ledvance.com/pt/product-datasheet/246821/233317","Ficha Técnica")</f>
        <v>Ficha Técnica</v>
      </c>
      <c r="H1979" s="15">
        <v>10</v>
      </c>
      <c r="I1979" s="163">
        <v>3100</v>
      </c>
      <c r="J1979" s="15" t="s">
        <v>1862</v>
      </c>
      <c r="K1979" s="163" t="s">
        <v>46</v>
      </c>
      <c r="L1979" s="15">
        <v>5</v>
      </c>
      <c r="M1979" s="193">
        <v>20.6</v>
      </c>
      <c r="N1979" s="173" t="s">
        <v>571</v>
      </c>
    </row>
    <row r="1980" spans="1:14" x14ac:dyDescent="0.25">
      <c r="A1980" s="66" t="s">
        <v>570</v>
      </c>
      <c r="B1980" s="73" t="s">
        <v>577</v>
      </c>
      <c r="C1980" s="52"/>
      <c r="D1980" s="65"/>
      <c r="E1980" s="92"/>
      <c r="F1980" s="12"/>
      <c r="G1980" s="157"/>
      <c r="H1980" s="12"/>
      <c r="I1980" s="62"/>
      <c r="J1980" s="27"/>
      <c r="K1980" s="62"/>
      <c r="L1980" s="12"/>
      <c r="M1980" s="191"/>
      <c r="N1980" s="130"/>
    </row>
    <row r="1981" spans="1:14" x14ac:dyDescent="0.25">
      <c r="A1981" s="63" t="s">
        <v>570</v>
      </c>
      <c r="B1981" s="71" t="s">
        <v>3488</v>
      </c>
      <c r="C1981" s="2">
        <v>4099854036774</v>
      </c>
      <c r="D1981" s="118"/>
      <c r="E1981" s="119"/>
      <c r="F1981" s="25"/>
      <c r="G1981" s="156" t="str">
        <f>HYPERLINK("https://ledvance.com/pt/product-datasheet/246656/233320","Ficha Técnica")</f>
        <v>Ficha Técnica</v>
      </c>
      <c r="H1981" s="15">
        <v>10</v>
      </c>
      <c r="I1981" s="163">
        <v>2250</v>
      </c>
      <c r="J1981" s="15" t="s">
        <v>1863</v>
      </c>
      <c r="K1981" s="163" t="s">
        <v>46</v>
      </c>
      <c r="L1981" s="15">
        <v>5</v>
      </c>
      <c r="M1981" s="193">
        <v>13.8</v>
      </c>
      <c r="N1981" s="173" t="s">
        <v>571</v>
      </c>
    </row>
    <row r="1982" spans="1:14" x14ac:dyDescent="0.25">
      <c r="A1982" s="63" t="s">
        <v>570</v>
      </c>
      <c r="B1982" s="71" t="s">
        <v>3489</v>
      </c>
      <c r="C1982" s="2">
        <v>4099854036835</v>
      </c>
      <c r="D1982" s="118"/>
      <c r="E1982" s="119"/>
      <c r="F1982" s="25"/>
      <c r="G1982" s="156" t="str">
        <f>HYPERLINK("https://ledvance.com/pt/product-datasheet/246656/233323","Ficha Técnica")</f>
        <v>Ficha Técnica</v>
      </c>
      <c r="H1982" s="15">
        <v>10</v>
      </c>
      <c r="I1982" s="163">
        <v>2500</v>
      </c>
      <c r="J1982" s="15" t="s">
        <v>1863</v>
      </c>
      <c r="K1982" s="163" t="s">
        <v>46</v>
      </c>
      <c r="L1982" s="15">
        <v>5</v>
      </c>
      <c r="M1982" s="193">
        <v>13.8</v>
      </c>
      <c r="N1982" s="173" t="s">
        <v>571</v>
      </c>
    </row>
    <row r="1983" spans="1:14" x14ac:dyDescent="0.25">
      <c r="A1983" s="63" t="s">
        <v>570</v>
      </c>
      <c r="B1983" s="71" t="s">
        <v>3490</v>
      </c>
      <c r="C1983" s="2">
        <v>4099854036873</v>
      </c>
      <c r="D1983" s="118"/>
      <c r="E1983" s="119"/>
      <c r="F1983" s="25"/>
      <c r="G1983" s="156" t="str">
        <f>HYPERLINK("https://ledvance.com/pt/product-datasheet/246656/233326","Ficha Técnica")</f>
        <v>Ficha Técnica</v>
      </c>
      <c r="H1983" s="15">
        <v>10</v>
      </c>
      <c r="I1983" s="163">
        <v>2500</v>
      </c>
      <c r="J1983" s="15" t="s">
        <v>1863</v>
      </c>
      <c r="K1983" s="163" t="s">
        <v>46</v>
      </c>
      <c r="L1983" s="15">
        <v>5</v>
      </c>
      <c r="M1983" s="193">
        <v>13.8</v>
      </c>
      <c r="N1983" s="173" t="s">
        <v>571</v>
      </c>
    </row>
    <row r="1984" spans="1:14" x14ac:dyDescent="0.25">
      <c r="A1984" s="63" t="s">
        <v>570</v>
      </c>
      <c r="B1984" s="71" t="s">
        <v>3491</v>
      </c>
      <c r="C1984" s="2">
        <v>4099854037016</v>
      </c>
      <c r="D1984" s="118"/>
      <c r="E1984" s="119"/>
      <c r="F1984" s="25"/>
      <c r="G1984" s="156" t="str">
        <f>HYPERLINK("https://ledvance.com/pt/product-datasheet/246656/233329","Ficha Técnica")</f>
        <v>Ficha Técnica</v>
      </c>
      <c r="H1984" s="15">
        <v>10</v>
      </c>
      <c r="I1984" s="163">
        <v>3330</v>
      </c>
      <c r="J1984" s="15" t="s">
        <v>1864</v>
      </c>
      <c r="K1984" s="163" t="s">
        <v>46</v>
      </c>
      <c r="L1984" s="15">
        <v>5</v>
      </c>
      <c r="M1984" s="193">
        <v>17.7</v>
      </c>
      <c r="N1984" s="173" t="s">
        <v>571</v>
      </c>
    </row>
    <row r="1985" spans="1:14" x14ac:dyDescent="0.25">
      <c r="A1985" s="63" t="s">
        <v>570</v>
      </c>
      <c r="B1985" s="71" t="s">
        <v>3492</v>
      </c>
      <c r="C1985" s="2">
        <v>4099854037030</v>
      </c>
      <c r="D1985" s="118"/>
      <c r="E1985" s="119"/>
      <c r="F1985" s="25"/>
      <c r="G1985" s="156" t="str">
        <f>HYPERLINK("https://ledvance.com/pt/product-datasheet/246656/233332","Ficha Técnica")</f>
        <v>Ficha Técnica</v>
      </c>
      <c r="H1985" s="15">
        <v>10</v>
      </c>
      <c r="I1985" s="163">
        <v>3700</v>
      </c>
      <c r="J1985" s="15" t="s">
        <v>1864</v>
      </c>
      <c r="K1985" s="163" t="s">
        <v>46</v>
      </c>
      <c r="L1985" s="15">
        <v>5</v>
      </c>
      <c r="M1985" s="193">
        <v>17.7</v>
      </c>
      <c r="N1985" s="173" t="s">
        <v>571</v>
      </c>
    </row>
    <row r="1986" spans="1:14" x14ac:dyDescent="0.25">
      <c r="A1986" s="63" t="s">
        <v>570</v>
      </c>
      <c r="B1986" s="71" t="s">
        <v>3493</v>
      </c>
      <c r="C1986" s="2">
        <v>4099854037054</v>
      </c>
      <c r="D1986" s="118"/>
      <c r="E1986" s="119"/>
      <c r="F1986" s="25"/>
      <c r="G1986" s="156" t="str">
        <f>HYPERLINK("https://ledvance.com/pt/product-datasheet/246656/233335","Ficha Técnica")</f>
        <v>Ficha Técnica</v>
      </c>
      <c r="H1986" s="15">
        <v>10</v>
      </c>
      <c r="I1986" s="163">
        <v>3700</v>
      </c>
      <c r="J1986" s="15" t="s">
        <v>1864</v>
      </c>
      <c r="K1986" s="163" t="s">
        <v>46</v>
      </c>
      <c r="L1986" s="15">
        <v>5</v>
      </c>
      <c r="M1986" s="193">
        <v>17.7</v>
      </c>
      <c r="N1986" s="173" t="s">
        <v>571</v>
      </c>
    </row>
    <row r="1987" spans="1:14" x14ac:dyDescent="0.25">
      <c r="A1987" s="66" t="s">
        <v>570</v>
      </c>
      <c r="B1987" s="73" t="s">
        <v>578</v>
      </c>
      <c r="C1987" s="52"/>
      <c r="D1987" s="65"/>
      <c r="E1987" s="92"/>
      <c r="F1987" s="12"/>
      <c r="G1987" s="157"/>
      <c r="H1987" s="12"/>
      <c r="I1987" s="62"/>
      <c r="J1987" s="27"/>
      <c r="K1987" s="62"/>
      <c r="L1987" s="12"/>
      <c r="M1987" s="191"/>
      <c r="N1987" s="130"/>
    </row>
    <row r="1988" spans="1:14" x14ac:dyDescent="0.25">
      <c r="A1988" s="63" t="s">
        <v>570</v>
      </c>
      <c r="B1988" s="71" t="s">
        <v>3494</v>
      </c>
      <c r="C1988" s="2">
        <v>4099854036958</v>
      </c>
      <c r="D1988" s="118"/>
      <c r="E1988" s="119"/>
      <c r="F1988" s="25"/>
      <c r="G1988" s="156" t="str">
        <f>HYPERLINK("https://ledvance.com/pt/product-datasheet/246660/233338","Ficha Técnica")</f>
        <v>Ficha Técnica</v>
      </c>
      <c r="H1988" s="15">
        <v>10</v>
      </c>
      <c r="I1988" s="163">
        <v>990</v>
      </c>
      <c r="J1988" s="15">
        <v>7</v>
      </c>
      <c r="K1988" s="163" t="s">
        <v>46</v>
      </c>
      <c r="L1988" s="15">
        <v>5</v>
      </c>
      <c r="M1988" s="193">
        <v>10.8</v>
      </c>
      <c r="N1988" s="173" t="s">
        <v>571</v>
      </c>
    </row>
    <row r="1989" spans="1:14" x14ac:dyDescent="0.25">
      <c r="A1989" s="63" t="s">
        <v>570</v>
      </c>
      <c r="B1989" s="71" t="s">
        <v>3495</v>
      </c>
      <c r="C1989" s="2">
        <v>4099854036972</v>
      </c>
      <c r="D1989" s="118"/>
      <c r="E1989" s="119"/>
      <c r="F1989" s="25"/>
      <c r="G1989" s="156" t="str">
        <f>HYPERLINK("https://ledvance.com/pt/product-datasheet/246660/233341","Ficha Técnica")</f>
        <v>Ficha Técnica</v>
      </c>
      <c r="H1989" s="15">
        <v>10</v>
      </c>
      <c r="I1989" s="163">
        <v>1100</v>
      </c>
      <c r="J1989" s="15">
        <v>7</v>
      </c>
      <c r="K1989" s="163" t="s">
        <v>46</v>
      </c>
      <c r="L1989" s="15">
        <v>5</v>
      </c>
      <c r="M1989" s="193">
        <v>10.8</v>
      </c>
      <c r="N1989" s="173" t="s">
        <v>571</v>
      </c>
    </row>
    <row r="1990" spans="1:14" x14ac:dyDescent="0.25">
      <c r="A1990" s="63" t="s">
        <v>570</v>
      </c>
      <c r="B1990" s="71" t="s">
        <v>3496</v>
      </c>
      <c r="C1990" s="2">
        <v>4099854036996</v>
      </c>
      <c r="D1990" s="118"/>
      <c r="E1990" s="119"/>
      <c r="F1990" s="25"/>
      <c r="G1990" s="156" t="str">
        <f>HYPERLINK("https://ledvance.com/pt/product-datasheet/246660/233344","Ficha Técnica")</f>
        <v>Ficha Técnica</v>
      </c>
      <c r="H1990" s="15">
        <v>10</v>
      </c>
      <c r="I1990" s="163">
        <v>1100</v>
      </c>
      <c r="J1990" s="15">
        <v>7</v>
      </c>
      <c r="K1990" s="163" t="s">
        <v>46</v>
      </c>
      <c r="L1990" s="15">
        <v>5</v>
      </c>
      <c r="M1990" s="193">
        <v>10.8</v>
      </c>
      <c r="N1990" s="173" t="s">
        <v>571</v>
      </c>
    </row>
    <row r="1991" spans="1:14" x14ac:dyDescent="0.25">
      <c r="A1991" s="63" t="s">
        <v>570</v>
      </c>
      <c r="B1991" s="71" t="s">
        <v>3497</v>
      </c>
      <c r="C1991" s="2">
        <v>4099854036897</v>
      </c>
      <c r="D1991" s="118"/>
      <c r="E1991" s="119"/>
      <c r="F1991" s="25"/>
      <c r="G1991" s="156" t="str">
        <f>HYPERLINK("https://ledvance.com/pt/product-datasheet/246660/233348","Ficha Técnica")</f>
        <v>Ficha Técnica</v>
      </c>
      <c r="H1991" s="15">
        <v>10</v>
      </c>
      <c r="I1991" s="163">
        <v>1890</v>
      </c>
      <c r="J1991" s="15" t="s">
        <v>1865</v>
      </c>
      <c r="K1991" s="163" t="s">
        <v>46</v>
      </c>
      <c r="L1991" s="15">
        <v>5</v>
      </c>
      <c r="M1991" s="193">
        <v>13</v>
      </c>
      <c r="N1991" s="173" t="s">
        <v>571</v>
      </c>
    </row>
    <row r="1992" spans="1:14" x14ac:dyDescent="0.25">
      <c r="A1992" s="63" t="s">
        <v>570</v>
      </c>
      <c r="B1992" s="71" t="s">
        <v>3498</v>
      </c>
      <c r="C1992" s="2">
        <v>4099854036910</v>
      </c>
      <c r="D1992" s="118"/>
      <c r="E1992" s="119"/>
      <c r="F1992" s="25"/>
      <c r="G1992" s="156" t="str">
        <f>HYPERLINK("https://ledvance.com/pt/product-datasheet/246660/233354","Ficha Técnica")</f>
        <v>Ficha Técnica</v>
      </c>
      <c r="H1992" s="15">
        <v>10</v>
      </c>
      <c r="I1992" s="163">
        <v>2100</v>
      </c>
      <c r="J1992" s="15" t="s">
        <v>1865</v>
      </c>
      <c r="K1992" s="163" t="s">
        <v>46</v>
      </c>
      <c r="L1992" s="15">
        <v>5</v>
      </c>
      <c r="M1992" s="193">
        <v>13</v>
      </c>
      <c r="N1992" s="173" t="s">
        <v>571</v>
      </c>
    </row>
    <row r="1993" spans="1:14" x14ac:dyDescent="0.25">
      <c r="A1993" s="63" t="s">
        <v>570</v>
      </c>
      <c r="B1993" s="71" t="s">
        <v>3499</v>
      </c>
      <c r="C1993" s="2">
        <v>4099854036934</v>
      </c>
      <c r="D1993" s="118"/>
      <c r="E1993" s="119"/>
      <c r="F1993" s="25"/>
      <c r="G1993" s="156" t="str">
        <f>HYPERLINK("https://ledvance.com/pt/product-datasheet/246660/233346","Ficha Técnica")</f>
        <v>Ficha Técnica</v>
      </c>
      <c r="H1993" s="15">
        <v>10</v>
      </c>
      <c r="I1993" s="163">
        <v>2100</v>
      </c>
      <c r="J1993" s="15" t="s">
        <v>1865</v>
      </c>
      <c r="K1993" s="163" t="s">
        <v>46</v>
      </c>
      <c r="L1993" s="15">
        <v>5</v>
      </c>
      <c r="M1993" s="193">
        <v>13</v>
      </c>
      <c r="N1993" s="173" t="s">
        <v>571</v>
      </c>
    </row>
    <row r="1994" spans="1:14" x14ac:dyDescent="0.25">
      <c r="A1994" s="63" t="s">
        <v>570</v>
      </c>
      <c r="B1994" s="71" t="s">
        <v>3500</v>
      </c>
      <c r="C1994" s="2">
        <v>4099854037078</v>
      </c>
      <c r="D1994" s="118"/>
      <c r="E1994" s="119"/>
      <c r="F1994" s="25"/>
      <c r="G1994" s="156" t="str">
        <f>HYPERLINK("https://ledvance.com/pt/product-datasheet/246660/233353","Ficha Técnica")</f>
        <v>Ficha Técnica</v>
      </c>
      <c r="H1994" s="15">
        <v>10</v>
      </c>
      <c r="I1994" s="163">
        <v>2790</v>
      </c>
      <c r="J1994" s="15">
        <v>20</v>
      </c>
      <c r="K1994" s="163" t="s">
        <v>46</v>
      </c>
      <c r="L1994" s="15">
        <v>5</v>
      </c>
      <c r="M1994" s="193">
        <v>16.399999999999999</v>
      </c>
      <c r="N1994" s="173" t="s">
        <v>571</v>
      </c>
    </row>
    <row r="1995" spans="1:14" x14ac:dyDescent="0.25">
      <c r="A1995" s="63" t="s">
        <v>570</v>
      </c>
      <c r="B1995" s="71" t="s">
        <v>3501</v>
      </c>
      <c r="C1995" s="2">
        <v>4099854037139</v>
      </c>
      <c r="D1995" s="118"/>
      <c r="E1995" s="119"/>
      <c r="F1995" s="25"/>
      <c r="G1995" s="156" t="str">
        <f>HYPERLINK("https://ledvance.com/pt/product-datasheet/246660/233359","Ficha Técnica")</f>
        <v>Ficha Técnica</v>
      </c>
      <c r="H1995" s="15">
        <v>10</v>
      </c>
      <c r="I1995" s="163">
        <v>3100</v>
      </c>
      <c r="J1995" s="15">
        <v>20</v>
      </c>
      <c r="K1995" s="163" t="s">
        <v>46</v>
      </c>
      <c r="L1995" s="15">
        <v>5</v>
      </c>
      <c r="M1995" s="193">
        <v>16.399999999999999</v>
      </c>
      <c r="N1995" s="173" t="s">
        <v>571</v>
      </c>
    </row>
    <row r="1996" spans="1:14" x14ac:dyDescent="0.25">
      <c r="A1996" s="63" t="s">
        <v>570</v>
      </c>
      <c r="B1996" s="71" t="s">
        <v>3502</v>
      </c>
      <c r="C1996" s="2">
        <v>4099854037153</v>
      </c>
      <c r="D1996" s="118"/>
      <c r="E1996" s="119"/>
      <c r="F1996" s="25"/>
      <c r="G1996" s="156" t="str">
        <f>HYPERLINK("https://ledvance.com/pt/product-datasheet/246660/233362","Ficha Técnica")</f>
        <v>Ficha Técnica</v>
      </c>
      <c r="H1996" s="15">
        <v>10</v>
      </c>
      <c r="I1996" s="163">
        <v>3100</v>
      </c>
      <c r="J1996" s="15">
        <v>20</v>
      </c>
      <c r="K1996" s="163" t="s">
        <v>46</v>
      </c>
      <c r="L1996" s="15">
        <v>5</v>
      </c>
      <c r="M1996" s="193">
        <v>16.399999999999999</v>
      </c>
      <c r="N1996" s="173" t="s">
        <v>571</v>
      </c>
    </row>
    <row r="1997" spans="1:14" x14ac:dyDescent="0.25">
      <c r="A1997" s="66" t="s">
        <v>570</v>
      </c>
      <c r="B1997" s="73" t="s">
        <v>579</v>
      </c>
      <c r="C1997" s="52"/>
      <c r="D1997" s="65"/>
      <c r="E1997" s="92"/>
      <c r="F1997" s="12"/>
      <c r="G1997" s="157"/>
      <c r="H1997" s="12"/>
      <c r="I1997" s="62"/>
      <c r="J1997" s="27"/>
      <c r="K1997" s="62"/>
      <c r="L1997" s="12"/>
      <c r="M1997" s="191"/>
      <c r="N1997" s="130"/>
    </row>
    <row r="1998" spans="1:14" x14ac:dyDescent="0.25">
      <c r="A1998" s="63" t="s">
        <v>570</v>
      </c>
      <c r="B1998" s="71" t="s">
        <v>3503</v>
      </c>
      <c r="C1998" s="2">
        <v>4099854038327</v>
      </c>
      <c r="D1998" s="118"/>
      <c r="E1998" s="132"/>
      <c r="F1998" s="25"/>
      <c r="G1998" s="156" t="str">
        <f>HYPERLINK("https://ledvance.com/pt/product-datasheet/246645/233365","Ficha Técnica")</f>
        <v>Ficha Técnica</v>
      </c>
      <c r="H1998" s="15">
        <v>10</v>
      </c>
      <c r="I1998" s="163">
        <v>2160</v>
      </c>
      <c r="J1998" s="15">
        <v>20</v>
      </c>
      <c r="K1998" s="163" t="s">
        <v>46</v>
      </c>
      <c r="L1998" s="15">
        <v>3</v>
      </c>
      <c r="M1998" s="193">
        <v>10.199999999999999</v>
      </c>
      <c r="N1998" s="173" t="s">
        <v>571</v>
      </c>
    </row>
    <row r="1999" spans="1:14" x14ac:dyDescent="0.25">
      <c r="A1999" s="63" t="s">
        <v>570</v>
      </c>
      <c r="B1999" s="71" t="s">
        <v>3504</v>
      </c>
      <c r="C1999" s="2">
        <v>4099854038402</v>
      </c>
      <c r="D1999" s="118"/>
      <c r="E1999" s="132"/>
      <c r="F1999" s="25"/>
      <c r="G1999" s="156" t="str">
        <f>HYPERLINK("https://ledvance.com/pt/product-datasheet/246645/233368","Ficha Técnica")</f>
        <v>Ficha Técnica</v>
      </c>
      <c r="H1999" s="15">
        <v>10</v>
      </c>
      <c r="I1999" s="163">
        <v>2400</v>
      </c>
      <c r="J1999" s="15">
        <v>20</v>
      </c>
      <c r="K1999" s="163" t="s">
        <v>46</v>
      </c>
      <c r="L1999" s="15">
        <v>3</v>
      </c>
      <c r="M1999" s="193">
        <v>10.199999999999999</v>
      </c>
      <c r="N1999" s="173" t="s">
        <v>571</v>
      </c>
    </row>
    <row r="2000" spans="1:14" x14ac:dyDescent="0.25">
      <c r="A2000" s="63" t="s">
        <v>570</v>
      </c>
      <c r="B2000" s="71" t="s">
        <v>3505</v>
      </c>
      <c r="C2000" s="2">
        <v>4099854038525</v>
      </c>
      <c r="D2000" s="118"/>
      <c r="E2000" s="132"/>
      <c r="F2000" s="25"/>
      <c r="G2000" s="156" t="str">
        <f>HYPERLINK("https://ledvance.com/pt/product-datasheet/246645/233371","Ficha Técnica")</f>
        <v>Ficha Técnica</v>
      </c>
      <c r="H2000" s="15">
        <v>10</v>
      </c>
      <c r="I2000" s="163">
        <v>2400</v>
      </c>
      <c r="J2000" s="15">
        <v>20</v>
      </c>
      <c r="K2000" s="163" t="s">
        <v>46</v>
      </c>
      <c r="L2000" s="15">
        <v>3</v>
      </c>
      <c r="M2000" s="193">
        <v>10.199999999999999</v>
      </c>
      <c r="N2000" s="173" t="s">
        <v>571</v>
      </c>
    </row>
    <row r="2001" spans="1:14" x14ac:dyDescent="0.25">
      <c r="A2001" s="63" t="s">
        <v>570</v>
      </c>
      <c r="B2001" s="71" t="s">
        <v>3506</v>
      </c>
      <c r="C2001" s="2">
        <v>4099854038624</v>
      </c>
      <c r="D2001" s="118"/>
      <c r="E2001" s="132"/>
      <c r="F2001" s="25"/>
      <c r="G2001" s="156" t="str">
        <f>HYPERLINK("https://ledvance.com/pt/product-datasheet/246645/233374","Ficha Técnica")</f>
        <v>Ficha Técnica</v>
      </c>
      <c r="H2001" s="15">
        <v>10</v>
      </c>
      <c r="I2001" s="163">
        <v>3150</v>
      </c>
      <c r="J2001" s="15">
        <v>29</v>
      </c>
      <c r="K2001" s="163" t="s">
        <v>46</v>
      </c>
      <c r="L2001" s="15">
        <v>3</v>
      </c>
      <c r="M2001" s="193">
        <v>14.2</v>
      </c>
      <c r="N2001" s="173" t="s">
        <v>571</v>
      </c>
    </row>
    <row r="2002" spans="1:14" x14ac:dyDescent="0.25">
      <c r="A2002" s="63" t="s">
        <v>570</v>
      </c>
      <c r="B2002" s="71" t="s">
        <v>3507</v>
      </c>
      <c r="C2002" s="2">
        <v>4099854038662</v>
      </c>
      <c r="D2002" s="118"/>
      <c r="E2002" s="132"/>
      <c r="F2002" s="25"/>
      <c r="G2002" s="156" t="str">
        <f>HYPERLINK("https://ledvance.com/pt/product-datasheet/246645/233377","Ficha Técnica")</f>
        <v>Ficha Técnica</v>
      </c>
      <c r="H2002" s="15">
        <v>10</v>
      </c>
      <c r="I2002" s="163">
        <v>3500</v>
      </c>
      <c r="J2002" s="15">
        <v>29</v>
      </c>
      <c r="K2002" s="163" t="s">
        <v>46</v>
      </c>
      <c r="L2002" s="15">
        <v>3</v>
      </c>
      <c r="M2002" s="193">
        <v>14.2</v>
      </c>
      <c r="N2002" s="173" t="s">
        <v>571</v>
      </c>
    </row>
    <row r="2003" spans="1:14" x14ac:dyDescent="0.25">
      <c r="A2003" s="63" t="s">
        <v>570</v>
      </c>
      <c r="B2003" s="71" t="s">
        <v>3508</v>
      </c>
      <c r="C2003" s="2">
        <v>4099854038747</v>
      </c>
      <c r="D2003" s="118"/>
      <c r="E2003" s="132"/>
      <c r="F2003" s="25"/>
      <c r="G2003" s="156" t="str">
        <f>HYPERLINK("https://ledvance.com/pt/product-datasheet/246645/233380","Ficha Técnica")</f>
        <v>Ficha Técnica</v>
      </c>
      <c r="H2003" s="15">
        <v>10</v>
      </c>
      <c r="I2003" s="163">
        <v>3500</v>
      </c>
      <c r="J2003" s="15">
        <v>29</v>
      </c>
      <c r="K2003" s="163" t="s">
        <v>46</v>
      </c>
      <c r="L2003" s="15">
        <v>3</v>
      </c>
      <c r="M2003" s="193">
        <v>14.2</v>
      </c>
      <c r="N2003" s="173" t="s">
        <v>571</v>
      </c>
    </row>
    <row r="2004" spans="1:14" x14ac:dyDescent="0.25">
      <c r="A2004" s="66" t="s">
        <v>570</v>
      </c>
      <c r="B2004" s="73" t="s">
        <v>580</v>
      </c>
      <c r="C2004" s="52"/>
      <c r="D2004" s="65"/>
      <c r="E2004" s="86"/>
      <c r="F2004" s="12"/>
      <c r="G2004" s="157"/>
      <c r="H2004" s="12"/>
      <c r="I2004" s="62"/>
      <c r="J2004" s="27"/>
      <c r="K2004" s="62"/>
      <c r="L2004" s="12"/>
      <c r="M2004" s="191"/>
      <c r="N2004" s="130"/>
    </row>
    <row r="2005" spans="1:14" x14ac:dyDescent="0.25">
      <c r="A2005" s="63" t="s">
        <v>570</v>
      </c>
      <c r="B2005" s="71" t="s">
        <v>3509</v>
      </c>
      <c r="C2005" s="2">
        <v>4099854038907</v>
      </c>
      <c r="D2005" s="118"/>
      <c r="E2005" s="132"/>
      <c r="F2005" s="28"/>
      <c r="G2005" s="156" t="str">
        <f>HYPERLINK("https://ledvance.com/pt/product-datasheet/246648/233383","Ficha Técnica")</f>
        <v>Ficha Técnica</v>
      </c>
      <c r="H2005" s="15">
        <v>10</v>
      </c>
      <c r="I2005" s="163">
        <v>585</v>
      </c>
      <c r="J2005" s="15" t="s">
        <v>1866</v>
      </c>
      <c r="K2005" s="163" t="s">
        <v>46</v>
      </c>
      <c r="L2005" s="15">
        <v>3</v>
      </c>
      <c r="M2005" s="193">
        <v>6.7</v>
      </c>
      <c r="N2005" s="173" t="s">
        <v>571</v>
      </c>
    </row>
    <row r="2006" spans="1:14" x14ac:dyDescent="0.25">
      <c r="A2006" s="63" t="s">
        <v>570</v>
      </c>
      <c r="B2006" s="71" t="s">
        <v>3510</v>
      </c>
      <c r="C2006" s="2">
        <v>4099854038921</v>
      </c>
      <c r="D2006" s="118"/>
      <c r="E2006" s="132"/>
      <c r="F2006" s="28"/>
      <c r="G2006" s="156" t="str">
        <f>HYPERLINK("https://ledvance.com/pt/product-datasheet/246648/233386","Ficha Técnica")</f>
        <v>Ficha Técnica</v>
      </c>
      <c r="H2006" s="15">
        <v>10</v>
      </c>
      <c r="I2006" s="163">
        <v>650</v>
      </c>
      <c r="J2006" s="15" t="s">
        <v>1866</v>
      </c>
      <c r="K2006" s="163" t="s">
        <v>46</v>
      </c>
      <c r="L2006" s="15">
        <v>3</v>
      </c>
      <c r="M2006" s="193">
        <v>6.7</v>
      </c>
      <c r="N2006" s="173" t="s">
        <v>571</v>
      </c>
    </row>
    <row r="2007" spans="1:14" x14ac:dyDescent="0.25">
      <c r="A2007" s="63" t="s">
        <v>570</v>
      </c>
      <c r="B2007" s="71" t="s">
        <v>3511</v>
      </c>
      <c r="C2007" s="2">
        <v>4099854038945</v>
      </c>
      <c r="D2007" s="118"/>
      <c r="E2007" s="119"/>
      <c r="F2007" s="28"/>
      <c r="G2007" s="156" t="str">
        <f>HYPERLINK("https://ledvance.com/pt/product-datasheet/246648/233389","Ficha Técnica")</f>
        <v>Ficha Técnica</v>
      </c>
      <c r="H2007" s="15">
        <v>10</v>
      </c>
      <c r="I2007" s="163">
        <v>650</v>
      </c>
      <c r="J2007" s="15" t="s">
        <v>1866</v>
      </c>
      <c r="K2007" s="163" t="s">
        <v>46</v>
      </c>
      <c r="L2007" s="15">
        <v>3</v>
      </c>
      <c r="M2007" s="193">
        <v>6.7</v>
      </c>
      <c r="N2007" s="173" t="s">
        <v>571</v>
      </c>
    </row>
    <row r="2008" spans="1:14" x14ac:dyDescent="0.25">
      <c r="A2008" s="63" t="s">
        <v>570</v>
      </c>
      <c r="B2008" s="71" t="s">
        <v>3512</v>
      </c>
      <c r="C2008" s="2">
        <v>4099854038969</v>
      </c>
      <c r="D2008" s="118"/>
      <c r="E2008" s="119"/>
      <c r="F2008" s="28"/>
      <c r="G2008" s="156" t="str">
        <f>HYPERLINK("https://ledvance.com/pt/product-datasheet/246648/233392","Ficha Técnica")</f>
        <v>Ficha Técnica</v>
      </c>
      <c r="H2008" s="15">
        <v>10</v>
      </c>
      <c r="I2008" s="163">
        <v>720</v>
      </c>
      <c r="J2008" s="15" t="s">
        <v>1867</v>
      </c>
      <c r="K2008" s="163" t="s">
        <v>46</v>
      </c>
      <c r="L2008" s="15">
        <v>3</v>
      </c>
      <c r="M2008" s="193">
        <v>5.6</v>
      </c>
      <c r="N2008" s="173" t="s">
        <v>571</v>
      </c>
    </row>
    <row r="2009" spans="1:14" x14ac:dyDescent="0.25">
      <c r="A2009" s="63" t="s">
        <v>570</v>
      </c>
      <c r="B2009" s="71" t="s">
        <v>3513</v>
      </c>
      <c r="C2009" s="2">
        <v>4099854038983</v>
      </c>
      <c r="D2009" s="118"/>
      <c r="E2009" s="119"/>
      <c r="F2009" s="28"/>
      <c r="G2009" s="156" t="str">
        <f>HYPERLINK("https://ledvance.com/pt/product-datasheet/246648/233395","Ficha Técnica")</f>
        <v>Ficha Técnica</v>
      </c>
      <c r="H2009" s="15">
        <v>10</v>
      </c>
      <c r="I2009" s="163">
        <v>800</v>
      </c>
      <c r="J2009" s="15" t="s">
        <v>1867</v>
      </c>
      <c r="K2009" s="163" t="s">
        <v>46</v>
      </c>
      <c r="L2009" s="15">
        <v>3</v>
      </c>
      <c r="M2009" s="193">
        <v>5.6</v>
      </c>
      <c r="N2009" s="173" t="s">
        <v>571</v>
      </c>
    </row>
    <row r="2010" spans="1:14" x14ac:dyDescent="0.25">
      <c r="A2010" s="63" t="s">
        <v>570</v>
      </c>
      <c r="B2010" s="71" t="s">
        <v>3514</v>
      </c>
      <c r="C2010" s="2">
        <v>4099854039003</v>
      </c>
      <c r="D2010" s="118"/>
      <c r="E2010" s="119"/>
      <c r="F2010" s="28"/>
      <c r="G2010" s="156" t="str">
        <f>HYPERLINK("https://ledvance.com/pt/product-datasheet/246648/233398","Ficha Técnica")</f>
        <v>Ficha Técnica</v>
      </c>
      <c r="H2010" s="15">
        <v>10</v>
      </c>
      <c r="I2010" s="163">
        <v>800</v>
      </c>
      <c r="J2010" s="15" t="s">
        <v>1867</v>
      </c>
      <c r="K2010" s="163" t="s">
        <v>46</v>
      </c>
      <c r="L2010" s="15">
        <v>3</v>
      </c>
      <c r="M2010" s="193">
        <v>5.6</v>
      </c>
      <c r="N2010" s="173" t="s">
        <v>571</v>
      </c>
    </row>
    <row r="2011" spans="1:14" x14ac:dyDescent="0.25">
      <c r="A2011" s="63" t="s">
        <v>570</v>
      </c>
      <c r="B2011" s="71" t="s">
        <v>3515</v>
      </c>
      <c r="C2011" s="2">
        <v>4099854039041</v>
      </c>
      <c r="D2011" s="118"/>
      <c r="E2011" s="119"/>
      <c r="F2011" s="28"/>
      <c r="G2011" s="156" t="str">
        <f>HYPERLINK("https://ledvance.com/pt/product-datasheet/246648/233404","Ficha Técnica")</f>
        <v>Ficha Técnica</v>
      </c>
      <c r="H2011" s="15">
        <v>10</v>
      </c>
      <c r="I2011" s="163">
        <v>850</v>
      </c>
      <c r="J2011" s="15">
        <v>7</v>
      </c>
      <c r="K2011" s="163" t="s">
        <v>46</v>
      </c>
      <c r="L2011" s="15">
        <v>3</v>
      </c>
      <c r="M2011" s="193">
        <v>7.5</v>
      </c>
      <c r="N2011" s="173" t="s">
        <v>571</v>
      </c>
    </row>
    <row r="2012" spans="1:14" x14ac:dyDescent="0.25">
      <c r="A2012" s="63" t="s">
        <v>570</v>
      </c>
      <c r="B2012" s="71" t="s">
        <v>3516</v>
      </c>
      <c r="C2012" s="2">
        <v>4099854039065</v>
      </c>
      <c r="D2012" s="118"/>
      <c r="E2012" s="119"/>
      <c r="F2012" s="28"/>
      <c r="G2012" s="156" t="str">
        <f>HYPERLINK("https://ledvance.com/pt/product-datasheet/246648/233407","Ficha Técnica")</f>
        <v>Ficha Técnica</v>
      </c>
      <c r="H2012" s="15">
        <v>10</v>
      </c>
      <c r="I2012" s="163">
        <v>850</v>
      </c>
      <c r="J2012" s="15">
        <v>7</v>
      </c>
      <c r="K2012" s="163" t="s">
        <v>46</v>
      </c>
      <c r="L2012" s="15">
        <v>3</v>
      </c>
      <c r="M2012" s="193">
        <v>7.5</v>
      </c>
      <c r="N2012" s="173" t="s">
        <v>571</v>
      </c>
    </row>
    <row r="2013" spans="1:14" x14ac:dyDescent="0.25">
      <c r="A2013" s="63" t="s">
        <v>570</v>
      </c>
      <c r="B2013" s="71" t="s">
        <v>3517</v>
      </c>
      <c r="C2013" s="2">
        <v>4099854039102</v>
      </c>
      <c r="D2013" s="118"/>
      <c r="E2013" s="119"/>
      <c r="F2013" s="28"/>
      <c r="G2013" s="156" t="str">
        <f>HYPERLINK("https://ledvance.com/pt/product-datasheet/246648/233410","Ficha Técnica")</f>
        <v>Ficha Técnica</v>
      </c>
      <c r="H2013" s="15">
        <v>10</v>
      </c>
      <c r="I2013" s="163">
        <v>1080</v>
      </c>
      <c r="J2013" s="15">
        <v>10</v>
      </c>
      <c r="K2013" s="163" t="s">
        <v>46</v>
      </c>
      <c r="L2013" s="15">
        <v>3</v>
      </c>
      <c r="M2013" s="193">
        <v>7.8</v>
      </c>
      <c r="N2013" s="173" t="s">
        <v>571</v>
      </c>
    </row>
    <row r="2014" spans="1:14" x14ac:dyDescent="0.25">
      <c r="A2014" s="63" t="s">
        <v>570</v>
      </c>
      <c r="B2014" s="71" t="s">
        <v>3518</v>
      </c>
      <c r="C2014" s="2">
        <v>4099854039126</v>
      </c>
      <c r="D2014" s="118"/>
      <c r="E2014" s="119"/>
      <c r="F2014" s="28"/>
      <c r="G2014" s="156" t="str">
        <f>HYPERLINK("https://ledvance.com/pt/product-datasheet/246648/233413","Ficha Técnica")</f>
        <v>Ficha Técnica</v>
      </c>
      <c r="H2014" s="15">
        <v>10</v>
      </c>
      <c r="I2014" s="163">
        <v>1200</v>
      </c>
      <c r="J2014" s="15">
        <v>10</v>
      </c>
      <c r="K2014" s="163" t="s">
        <v>46</v>
      </c>
      <c r="L2014" s="15">
        <v>3</v>
      </c>
      <c r="M2014" s="193">
        <v>7.8</v>
      </c>
      <c r="N2014" s="173" t="s">
        <v>571</v>
      </c>
    </row>
    <row r="2015" spans="1:14" x14ac:dyDescent="0.25">
      <c r="A2015" s="63" t="s">
        <v>570</v>
      </c>
      <c r="B2015" s="71" t="s">
        <v>3519</v>
      </c>
      <c r="C2015" s="2">
        <v>4099854039164</v>
      </c>
      <c r="D2015" s="118"/>
      <c r="E2015" s="119"/>
      <c r="F2015" s="28"/>
      <c r="G2015" s="156" t="str">
        <f>HYPERLINK("https://ledvance.com/pt/product-datasheet/246648/233416","Ficha Técnica")</f>
        <v>Ficha Técnica</v>
      </c>
      <c r="H2015" s="15">
        <v>10</v>
      </c>
      <c r="I2015" s="163">
        <v>1200</v>
      </c>
      <c r="J2015" s="15">
        <v>10</v>
      </c>
      <c r="K2015" s="163" t="s">
        <v>46</v>
      </c>
      <c r="L2015" s="15">
        <v>3</v>
      </c>
      <c r="M2015" s="193">
        <v>7.8</v>
      </c>
      <c r="N2015" s="173" t="s">
        <v>571</v>
      </c>
    </row>
    <row r="2016" spans="1:14" x14ac:dyDescent="0.25">
      <c r="A2016" s="63" t="s">
        <v>570</v>
      </c>
      <c r="B2016" s="71" t="s">
        <v>3520</v>
      </c>
      <c r="C2016" s="2">
        <v>4099854039201</v>
      </c>
      <c r="D2016" s="118"/>
      <c r="E2016" s="119"/>
      <c r="F2016" s="28"/>
      <c r="G2016" s="156" t="str">
        <f>HYPERLINK("https://ledvance.com/pt/product-datasheet/246648/233419","Ficha Técnica")</f>
        <v>Ficha Técnica</v>
      </c>
      <c r="H2016" s="15">
        <v>10</v>
      </c>
      <c r="I2016" s="163">
        <v>1260</v>
      </c>
      <c r="J2016" s="15" t="s">
        <v>1868</v>
      </c>
      <c r="K2016" s="163" t="s">
        <v>46</v>
      </c>
      <c r="L2016" s="15">
        <v>3</v>
      </c>
      <c r="M2016" s="193">
        <v>8.6</v>
      </c>
      <c r="N2016" s="173" t="s">
        <v>571</v>
      </c>
    </row>
    <row r="2017" spans="1:14" x14ac:dyDescent="0.25">
      <c r="A2017" s="63" t="s">
        <v>570</v>
      </c>
      <c r="B2017" s="71" t="s">
        <v>3521</v>
      </c>
      <c r="C2017" s="2">
        <v>4099854039249</v>
      </c>
      <c r="D2017" s="118"/>
      <c r="E2017" s="119"/>
      <c r="F2017" s="28"/>
      <c r="G2017" s="156" t="str">
        <f>HYPERLINK("https://ledvance.com/pt/product-datasheet/246648/233422","Ficha Técnica")</f>
        <v>Ficha Técnica</v>
      </c>
      <c r="H2017" s="15">
        <v>10</v>
      </c>
      <c r="I2017" s="163">
        <v>1400</v>
      </c>
      <c r="J2017" s="15" t="s">
        <v>1868</v>
      </c>
      <c r="K2017" s="163" t="s">
        <v>46</v>
      </c>
      <c r="L2017" s="15">
        <v>3</v>
      </c>
      <c r="M2017" s="193">
        <v>8.6</v>
      </c>
      <c r="N2017" s="173" t="s">
        <v>571</v>
      </c>
    </row>
    <row r="2018" spans="1:14" x14ac:dyDescent="0.25">
      <c r="A2018" s="63" t="s">
        <v>570</v>
      </c>
      <c r="B2018" s="71" t="s">
        <v>3522</v>
      </c>
      <c r="C2018" s="2">
        <v>4099854038488</v>
      </c>
      <c r="D2018" s="118"/>
      <c r="E2018" s="119"/>
      <c r="F2018" s="28"/>
      <c r="G2018" s="156" t="str">
        <f>HYPERLINK("https://ledvance.com/pt/product-datasheet/246648/233425","Ficha Técnica")</f>
        <v>Ficha Técnica</v>
      </c>
      <c r="H2018" s="15">
        <v>10</v>
      </c>
      <c r="I2018" s="163">
        <v>1400</v>
      </c>
      <c r="J2018" s="15" t="s">
        <v>1868</v>
      </c>
      <c r="K2018" s="163" t="s">
        <v>46</v>
      </c>
      <c r="L2018" s="15">
        <v>3</v>
      </c>
      <c r="M2018" s="193">
        <v>8.6</v>
      </c>
      <c r="N2018" s="173" t="s">
        <v>571</v>
      </c>
    </row>
    <row r="2019" spans="1:14" x14ac:dyDescent="0.25">
      <c r="A2019" s="63" t="s">
        <v>570</v>
      </c>
      <c r="B2019" s="71" t="s">
        <v>3523</v>
      </c>
      <c r="C2019" s="2">
        <v>4099854038143</v>
      </c>
      <c r="D2019" s="118"/>
      <c r="E2019" s="119"/>
      <c r="F2019" s="28"/>
      <c r="G2019" s="156" t="str">
        <f>HYPERLINK("https://ledvance.com/pt/product-datasheet/246648/233428","Ficha Técnica")</f>
        <v>Ficha Técnica</v>
      </c>
      <c r="H2019" s="15">
        <v>10</v>
      </c>
      <c r="I2019" s="163">
        <v>1620</v>
      </c>
      <c r="J2019" s="15">
        <v>15</v>
      </c>
      <c r="K2019" s="163" t="s">
        <v>46</v>
      </c>
      <c r="L2019" s="15">
        <v>3</v>
      </c>
      <c r="M2019" s="193">
        <v>7.3</v>
      </c>
      <c r="N2019" s="173" t="s">
        <v>571</v>
      </c>
    </row>
    <row r="2020" spans="1:14" x14ac:dyDescent="0.25">
      <c r="A2020" s="63" t="s">
        <v>570</v>
      </c>
      <c r="B2020" s="71" t="s">
        <v>3524</v>
      </c>
      <c r="C2020" s="2">
        <v>4099854038167</v>
      </c>
      <c r="D2020" s="118"/>
      <c r="E2020" s="119"/>
      <c r="F2020" s="28"/>
      <c r="G2020" s="156" t="str">
        <f>HYPERLINK("https://ledvance.com/pt/product-datasheet/246648/233431","Ficha Técnica")</f>
        <v>Ficha Técnica</v>
      </c>
      <c r="H2020" s="15">
        <v>10</v>
      </c>
      <c r="I2020" s="163">
        <v>1800</v>
      </c>
      <c r="J2020" s="15">
        <v>15</v>
      </c>
      <c r="K2020" s="163" t="s">
        <v>46</v>
      </c>
      <c r="L2020" s="15">
        <v>3</v>
      </c>
      <c r="M2020" s="193">
        <v>7.3</v>
      </c>
      <c r="N2020" s="173" t="s">
        <v>571</v>
      </c>
    </row>
    <row r="2021" spans="1:14" x14ac:dyDescent="0.25">
      <c r="A2021" s="63" t="s">
        <v>570</v>
      </c>
      <c r="B2021" s="71" t="s">
        <v>3525</v>
      </c>
      <c r="C2021" s="2">
        <v>4099854038181</v>
      </c>
      <c r="D2021" s="118"/>
      <c r="E2021" s="119"/>
      <c r="F2021" s="28"/>
      <c r="G2021" s="156" t="str">
        <f>HYPERLINK("https://ledvance.com/pt/product-datasheet/246648/233434","Ficha Técnica")</f>
        <v>Ficha Técnica</v>
      </c>
      <c r="H2021" s="15">
        <v>10</v>
      </c>
      <c r="I2021" s="163">
        <v>1800</v>
      </c>
      <c r="J2021" s="15">
        <v>15</v>
      </c>
      <c r="K2021" s="163" t="s">
        <v>46</v>
      </c>
      <c r="L2021" s="15">
        <v>3</v>
      </c>
      <c r="M2021" s="193">
        <v>7.3</v>
      </c>
      <c r="N2021" s="173" t="s">
        <v>571</v>
      </c>
    </row>
    <row r="2022" spans="1:14" x14ac:dyDescent="0.25">
      <c r="A2022" s="63" t="s">
        <v>570</v>
      </c>
      <c r="B2022" s="71" t="s">
        <v>3526</v>
      </c>
      <c r="C2022" s="2">
        <v>4099854038204</v>
      </c>
      <c r="D2022" s="118"/>
      <c r="E2022" s="119"/>
      <c r="F2022" s="28"/>
      <c r="G2022" s="156" t="str">
        <f>HYPERLINK("https://ledvance.com/pt/product-datasheet/246648/233437","Ficha Técnica")</f>
        <v>Ficha Técnica</v>
      </c>
      <c r="H2022" s="15">
        <v>10</v>
      </c>
      <c r="I2022" s="163">
        <v>2000</v>
      </c>
      <c r="J2022" s="15" t="s">
        <v>1869</v>
      </c>
      <c r="K2022" s="163" t="s">
        <v>46</v>
      </c>
      <c r="L2022" s="15">
        <v>3</v>
      </c>
      <c r="M2022" s="193">
        <v>8.8000000000000007</v>
      </c>
      <c r="N2022" s="173" t="s">
        <v>571</v>
      </c>
    </row>
    <row r="2023" spans="1:14" x14ac:dyDescent="0.25">
      <c r="A2023" s="63" t="s">
        <v>570</v>
      </c>
      <c r="B2023" s="71" t="s">
        <v>3527</v>
      </c>
      <c r="C2023" s="2">
        <v>4099854038228</v>
      </c>
      <c r="D2023" s="118"/>
      <c r="E2023" s="119"/>
      <c r="F2023" s="28"/>
      <c r="G2023" s="156" t="str">
        <f>HYPERLINK("https://ledvance.com/pt/product-datasheet/246648/233440","Ficha Técnica")</f>
        <v>Ficha Técnica</v>
      </c>
      <c r="H2023" s="15">
        <v>10</v>
      </c>
      <c r="I2023" s="163">
        <v>2200</v>
      </c>
      <c r="J2023" s="15" t="s">
        <v>1869</v>
      </c>
      <c r="K2023" s="163" t="s">
        <v>46</v>
      </c>
      <c r="L2023" s="15">
        <v>3</v>
      </c>
      <c r="M2023" s="193">
        <v>8.8000000000000007</v>
      </c>
      <c r="N2023" s="173" t="s">
        <v>571</v>
      </c>
    </row>
    <row r="2024" spans="1:14" x14ac:dyDescent="0.25">
      <c r="A2024" s="63" t="s">
        <v>570</v>
      </c>
      <c r="B2024" s="71" t="s">
        <v>3528</v>
      </c>
      <c r="C2024" s="2">
        <v>4099854038242</v>
      </c>
      <c r="D2024" s="118"/>
      <c r="E2024" s="119"/>
      <c r="F2024" s="28"/>
      <c r="G2024" s="156" t="str">
        <f>HYPERLINK("https://ledvance.com/pt/product-datasheet/246648/233443","Ficha Técnica")</f>
        <v>Ficha Técnica</v>
      </c>
      <c r="H2024" s="15">
        <v>10</v>
      </c>
      <c r="I2024" s="163">
        <v>2200</v>
      </c>
      <c r="J2024" s="15" t="s">
        <v>1869</v>
      </c>
      <c r="K2024" s="163" t="s">
        <v>46</v>
      </c>
      <c r="L2024" s="15">
        <v>3</v>
      </c>
      <c r="M2024" s="193">
        <v>8.8000000000000007</v>
      </c>
      <c r="N2024" s="173" t="s">
        <v>571</v>
      </c>
    </row>
    <row r="2025" spans="1:14" x14ac:dyDescent="0.25">
      <c r="A2025" s="66" t="s">
        <v>570</v>
      </c>
      <c r="B2025" s="73" t="s">
        <v>581</v>
      </c>
      <c r="C2025" s="52"/>
      <c r="D2025" s="65"/>
      <c r="E2025" s="133"/>
      <c r="F2025" s="29"/>
      <c r="G2025" s="157"/>
      <c r="H2025" s="12"/>
      <c r="I2025" s="62"/>
      <c r="J2025" s="27"/>
      <c r="K2025" s="62"/>
      <c r="L2025" s="12"/>
      <c r="M2025" s="191"/>
      <c r="N2025" s="130"/>
    </row>
    <row r="2026" spans="1:14" x14ac:dyDescent="0.25">
      <c r="A2026" s="63" t="s">
        <v>570</v>
      </c>
      <c r="B2026" s="71" t="s">
        <v>582</v>
      </c>
      <c r="C2026" s="2">
        <v>4099854067150</v>
      </c>
      <c r="D2026" s="118"/>
      <c r="E2026" s="119"/>
      <c r="F2026" s="25"/>
      <c r="G2026" s="156" t="str">
        <f>HYPERLINK("https://ledvance.com/pt/product-datasheet/248294/238746","Ficha Técnica")</f>
        <v>Ficha Técnica</v>
      </c>
      <c r="H2026" s="15">
        <v>20</v>
      </c>
      <c r="I2026" s="163"/>
      <c r="J2026" s="15"/>
      <c r="K2026" s="163"/>
      <c r="L2026" s="15"/>
      <c r="M2026" s="193">
        <v>7.5</v>
      </c>
      <c r="N2026" s="173" t="s">
        <v>571</v>
      </c>
    </row>
    <row r="2027" spans="1:14" x14ac:dyDescent="0.25">
      <c r="A2027" s="66" t="s">
        <v>570</v>
      </c>
      <c r="B2027" s="73" t="s">
        <v>583</v>
      </c>
      <c r="C2027" s="52"/>
      <c r="D2027" s="65"/>
      <c r="E2027" s="92"/>
      <c r="F2027" s="12"/>
      <c r="G2027" s="157"/>
      <c r="H2027" s="12"/>
      <c r="I2027" s="62"/>
      <c r="J2027" s="27"/>
      <c r="K2027" s="62"/>
      <c r="L2027" s="12"/>
      <c r="M2027" s="191"/>
      <c r="N2027" s="130"/>
    </row>
    <row r="2028" spans="1:14" x14ac:dyDescent="0.25">
      <c r="A2028" s="63" t="s">
        <v>570</v>
      </c>
      <c r="B2028" s="71" t="s">
        <v>3529</v>
      </c>
      <c r="C2028" s="2">
        <v>4099854044472</v>
      </c>
      <c r="D2028" s="118"/>
      <c r="E2028" s="119"/>
      <c r="F2028" s="25"/>
      <c r="G2028" s="156" t="str">
        <f>HYPERLINK("https://ledvance.com/pt/product-datasheet/247584/234885","Ficha Técnica")</f>
        <v>Ficha Técnica</v>
      </c>
      <c r="H2028" s="15">
        <v>10</v>
      </c>
      <c r="I2028" s="163">
        <v>1100</v>
      </c>
      <c r="J2028" s="15" t="s">
        <v>1870</v>
      </c>
      <c r="K2028" s="163" t="s">
        <v>46</v>
      </c>
      <c r="L2028" s="15">
        <v>5</v>
      </c>
      <c r="M2028" s="193">
        <v>25.5</v>
      </c>
      <c r="N2028" s="173" t="s">
        <v>571</v>
      </c>
    </row>
    <row r="2029" spans="1:14" x14ac:dyDescent="0.25">
      <c r="A2029" s="63" t="s">
        <v>570</v>
      </c>
      <c r="B2029" s="71" t="s">
        <v>3530</v>
      </c>
      <c r="C2029" s="2">
        <v>4099854044960</v>
      </c>
      <c r="D2029" s="118"/>
      <c r="E2029" s="119"/>
      <c r="F2029" s="25"/>
      <c r="G2029" s="156" t="str">
        <f>HYPERLINK("https://ledvance.com/pt/product-datasheet/247584/234888","Ficha Técnica")</f>
        <v>Ficha Técnica</v>
      </c>
      <c r="H2029" s="15">
        <v>10</v>
      </c>
      <c r="I2029" s="163">
        <v>2100</v>
      </c>
      <c r="J2029" s="15" t="s">
        <v>1871</v>
      </c>
      <c r="K2029" s="163" t="s">
        <v>46</v>
      </c>
      <c r="L2029" s="15">
        <v>5</v>
      </c>
      <c r="M2029" s="193">
        <v>29.6</v>
      </c>
      <c r="N2029" s="173" t="s">
        <v>571</v>
      </c>
    </row>
    <row r="2030" spans="1:14" x14ac:dyDescent="0.25">
      <c r="A2030" s="63" t="s">
        <v>570</v>
      </c>
      <c r="B2030" s="71" t="s">
        <v>3531</v>
      </c>
      <c r="C2030" s="2">
        <v>4099854045066</v>
      </c>
      <c r="D2030" s="118"/>
      <c r="E2030" s="119"/>
      <c r="F2030" s="25"/>
      <c r="G2030" s="156" t="str">
        <f>HYPERLINK("https://ledvance.com/pt/product-datasheet/247584/234891","Ficha Técnica")</f>
        <v>Ficha Técnica</v>
      </c>
      <c r="H2030" s="15">
        <v>10</v>
      </c>
      <c r="I2030" s="163">
        <v>3100</v>
      </c>
      <c r="J2030" s="15" t="s">
        <v>1872</v>
      </c>
      <c r="K2030" s="163" t="s">
        <v>46</v>
      </c>
      <c r="L2030" s="15">
        <v>5</v>
      </c>
      <c r="M2030" s="193">
        <v>33.6</v>
      </c>
      <c r="N2030" s="173" t="s">
        <v>571</v>
      </c>
    </row>
    <row r="2031" spans="1:14" x14ac:dyDescent="0.25">
      <c r="A2031" s="66" t="s">
        <v>570</v>
      </c>
      <c r="B2031" s="73" t="s">
        <v>584</v>
      </c>
      <c r="C2031" s="52"/>
      <c r="D2031" s="65"/>
      <c r="E2031" s="133"/>
      <c r="F2031" s="29"/>
      <c r="G2031" s="157"/>
      <c r="H2031" s="12"/>
      <c r="I2031" s="62"/>
      <c r="J2031" s="27"/>
      <c r="K2031" s="62"/>
      <c r="L2031" s="12"/>
      <c r="M2031" s="191"/>
      <c r="N2031" s="130"/>
    </row>
    <row r="2032" spans="1:14" x14ac:dyDescent="0.25">
      <c r="A2032" s="63" t="s">
        <v>570</v>
      </c>
      <c r="B2032" s="71" t="s">
        <v>3532</v>
      </c>
      <c r="C2032" s="2">
        <v>4099854044793</v>
      </c>
      <c r="D2032" s="118"/>
      <c r="E2032" s="119"/>
      <c r="F2032" s="25"/>
      <c r="G2032" s="156" t="str">
        <f>HYPERLINK("https://ledvance.com/pt/product-datasheet/247586/234894","Ficha Técnica")</f>
        <v>Ficha Técnica</v>
      </c>
      <c r="H2032" s="15">
        <v>10</v>
      </c>
      <c r="I2032" s="163">
        <v>500</v>
      </c>
      <c r="J2032" s="15" t="s">
        <v>1873</v>
      </c>
      <c r="K2032" s="163" t="s">
        <v>46</v>
      </c>
      <c r="L2032" s="15">
        <v>5</v>
      </c>
      <c r="M2032" s="193">
        <v>15.8</v>
      </c>
      <c r="N2032" s="173" t="s">
        <v>571</v>
      </c>
    </row>
    <row r="2033" spans="1:14" x14ac:dyDescent="0.25">
      <c r="A2033" s="63" t="s">
        <v>570</v>
      </c>
      <c r="B2033" s="71" t="s">
        <v>3533</v>
      </c>
      <c r="C2033" s="2">
        <v>4099854045226</v>
      </c>
      <c r="D2033" s="118"/>
      <c r="E2033" s="119"/>
      <c r="F2033" s="25"/>
      <c r="G2033" s="156" t="str">
        <f>HYPERLINK("https://ledvance.com/pt/product-datasheet/247586/234897","Ficha Técnica")</f>
        <v>Ficha Técnica</v>
      </c>
      <c r="H2033" s="15">
        <v>10</v>
      </c>
      <c r="I2033" s="163">
        <v>750</v>
      </c>
      <c r="J2033" s="15" t="s">
        <v>1874</v>
      </c>
      <c r="K2033" s="163" t="s">
        <v>46</v>
      </c>
      <c r="L2033" s="15">
        <v>5</v>
      </c>
      <c r="M2033" s="193">
        <v>17.100000000000001</v>
      </c>
      <c r="N2033" s="173" t="s">
        <v>571</v>
      </c>
    </row>
    <row r="2034" spans="1:14" x14ac:dyDescent="0.25">
      <c r="A2034" s="63" t="s">
        <v>570</v>
      </c>
      <c r="B2034" s="71" t="s">
        <v>3534</v>
      </c>
      <c r="C2034" s="2">
        <v>4099854045004</v>
      </c>
      <c r="D2034" s="118"/>
      <c r="E2034" s="119"/>
      <c r="F2034" s="25"/>
      <c r="G2034" s="156" t="str">
        <f>HYPERLINK("https://ledvance.com/pt/product-datasheet/247586/234900","Ficha Técnica")</f>
        <v>Ficha Técnica</v>
      </c>
      <c r="H2034" s="15">
        <v>10</v>
      </c>
      <c r="I2034" s="163">
        <v>1100</v>
      </c>
      <c r="J2034" s="15" t="s">
        <v>1868</v>
      </c>
      <c r="K2034" s="163" t="s">
        <v>46</v>
      </c>
      <c r="L2034" s="15">
        <v>5</v>
      </c>
      <c r="M2034" s="193">
        <v>23.4</v>
      </c>
      <c r="N2034" s="173" t="s">
        <v>571</v>
      </c>
    </row>
    <row r="2035" spans="1:14" x14ac:dyDescent="0.25">
      <c r="A2035" s="63" t="s">
        <v>570</v>
      </c>
      <c r="B2035" s="71" t="s">
        <v>3535</v>
      </c>
      <c r="C2035" s="2">
        <v>4099854045127</v>
      </c>
      <c r="D2035" s="118"/>
      <c r="E2035" s="119"/>
      <c r="F2035" s="25"/>
      <c r="G2035" s="156" t="str">
        <f>HYPERLINK("https://ledvance.com/pt/product-datasheet/247586/234903","Ficha Técnica")</f>
        <v>Ficha Técnica</v>
      </c>
      <c r="H2035" s="15">
        <v>10</v>
      </c>
      <c r="I2035" s="163">
        <v>1700</v>
      </c>
      <c r="J2035" s="15" t="s">
        <v>1875</v>
      </c>
      <c r="K2035" s="163" t="s">
        <v>46</v>
      </c>
      <c r="L2035" s="15">
        <v>5</v>
      </c>
      <c r="M2035" s="193">
        <v>27.7</v>
      </c>
      <c r="N2035" s="173" t="s">
        <v>571</v>
      </c>
    </row>
    <row r="2036" spans="1:14" x14ac:dyDescent="0.25">
      <c r="A2036" s="66" t="s">
        <v>570</v>
      </c>
      <c r="B2036" s="73" t="s">
        <v>1446</v>
      </c>
      <c r="C2036" s="52"/>
      <c r="D2036" s="65"/>
      <c r="E2036" s="86"/>
      <c r="F2036" s="12"/>
      <c r="G2036" s="157"/>
      <c r="H2036" s="12"/>
      <c r="I2036" s="62"/>
      <c r="J2036" s="27"/>
      <c r="K2036" s="62"/>
      <c r="L2036" s="12"/>
      <c r="M2036" s="191"/>
      <c r="N2036" s="130"/>
    </row>
    <row r="2037" spans="1:14" x14ac:dyDescent="0.25">
      <c r="A2037" s="63" t="s">
        <v>570</v>
      </c>
      <c r="B2037" s="71" t="s">
        <v>3536</v>
      </c>
      <c r="C2037" s="2">
        <v>4099854026294</v>
      </c>
      <c r="D2037" s="118"/>
      <c r="E2037" s="119"/>
      <c r="F2037" s="25"/>
      <c r="G2037" s="156" t="str">
        <f>HYPERLINK("https://ledvance.com/pt/product-datasheet/245362/229040","Ficha Técnica")</f>
        <v>Ficha Técnica</v>
      </c>
      <c r="H2037" s="15">
        <v>10</v>
      </c>
      <c r="I2037" s="163">
        <v>2400</v>
      </c>
      <c r="J2037" s="15">
        <v>15</v>
      </c>
      <c r="K2037" s="163" t="s">
        <v>46</v>
      </c>
      <c r="L2037" s="15">
        <v>5</v>
      </c>
      <c r="M2037" s="193">
        <v>35.6</v>
      </c>
      <c r="N2037" s="173" t="s">
        <v>571</v>
      </c>
    </row>
    <row r="2038" spans="1:14" x14ac:dyDescent="0.25">
      <c r="A2038" s="63" t="s">
        <v>570</v>
      </c>
      <c r="B2038" s="71" t="s">
        <v>3537</v>
      </c>
      <c r="C2038" s="2">
        <v>4099854026331</v>
      </c>
      <c r="D2038" s="118"/>
      <c r="E2038" s="119"/>
      <c r="F2038" s="25"/>
      <c r="G2038" s="156" t="str">
        <f>HYPERLINK("https://ledvance.com/pt/product-datasheet/245362/229043","Ficha Técnica")</f>
        <v>Ficha Técnica</v>
      </c>
      <c r="H2038" s="15">
        <v>10</v>
      </c>
      <c r="I2038" s="163">
        <v>2400</v>
      </c>
      <c r="J2038" s="15">
        <v>15</v>
      </c>
      <c r="K2038" s="163" t="s">
        <v>46</v>
      </c>
      <c r="L2038" s="15">
        <v>5</v>
      </c>
      <c r="M2038" s="193">
        <v>35.6</v>
      </c>
      <c r="N2038" s="173" t="s">
        <v>571</v>
      </c>
    </row>
    <row r="2039" spans="1:14" x14ac:dyDescent="0.25">
      <c r="A2039" s="63" t="s">
        <v>570</v>
      </c>
      <c r="B2039" s="71" t="s">
        <v>3538</v>
      </c>
      <c r="C2039" s="2">
        <v>4099854026577</v>
      </c>
      <c r="D2039" s="118"/>
      <c r="E2039" s="119"/>
      <c r="F2039" s="25"/>
      <c r="G2039" s="156" t="str">
        <f>HYPERLINK("https://ledvance.com/pt/product-datasheet/245362/229046","Ficha Técnica")</f>
        <v>Ficha Técnica</v>
      </c>
      <c r="H2039" s="15">
        <v>10</v>
      </c>
      <c r="I2039" s="163">
        <v>3700</v>
      </c>
      <c r="J2039" s="15">
        <v>23</v>
      </c>
      <c r="K2039" s="163" t="s">
        <v>46</v>
      </c>
      <c r="L2039" s="15">
        <v>5</v>
      </c>
      <c r="M2039" s="193">
        <v>39</v>
      </c>
      <c r="N2039" s="173" t="s">
        <v>571</v>
      </c>
    </row>
    <row r="2040" spans="1:14" x14ac:dyDescent="0.25">
      <c r="A2040" s="63" t="s">
        <v>570</v>
      </c>
      <c r="B2040" s="71" t="s">
        <v>3539</v>
      </c>
      <c r="C2040" s="2">
        <v>4099854026591</v>
      </c>
      <c r="D2040" s="118"/>
      <c r="E2040" s="119"/>
      <c r="F2040" s="25"/>
      <c r="G2040" s="156" t="str">
        <f>HYPERLINK("https://ledvance.com/pt/product-datasheet/245362/229049","Ficha Técnica")</f>
        <v>Ficha Técnica</v>
      </c>
      <c r="H2040" s="15">
        <v>10</v>
      </c>
      <c r="I2040" s="163">
        <v>3700</v>
      </c>
      <c r="J2040" s="15">
        <v>23</v>
      </c>
      <c r="K2040" s="163" t="s">
        <v>46</v>
      </c>
      <c r="L2040" s="15">
        <v>5</v>
      </c>
      <c r="M2040" s="193">
        <v>39</v>
      </c>
      <c r="N2040" s="173" t="s">
        <v>571</v>
      </c>
    </row>
    <row r="2041" spans="1:14" x14ac:dyDescent="0.25">
      <c r="A2041" s="66" t="s">
        <v>570</v>
      </c>
      <c r="B2041" s="73" t="s">
        <v>1450</v>
      </c>
      <c r="C2041" s="52"/>
      <c r="D2041" s="65"/>
      <c r="E2041" s="92"/>
      <c r="F2041" s="12"/>
      <c r="G2041" s="157"/>
      <c r="H2041" s="12"/>
      <c r="I2041" s="62"/>
      <c r="J2041" s="27"/>
      <c r="K2041" s="62"/>
      <c r="L2041" s="12"/>
      <c r="M2041" s="191"/>
      <c r="N2041" s="130"/>
    </row>
    <row r="2042" spans="1:14" x14ac:dyDescent="0.25">
      <c r="A2042" s="63" t="s">
        <v>570</v>
      </c>
      <c r="B2042" s="71" t="s">
        <v>3540</v>
      </c>
      <c r="C2042" s="2">
        <v>4099854026119</v>
      </c>
      <c r="D2042" s="118"/>
      <c r="E2042" s="132"/>
      <c r="F2042" s="28"/>
      <c r="G2042" s="156" t="str">
        <f>HYPERLINK("https://ledvance.com/pt/product-datasheet/245366/229070","Ficha Técnica")</f>
        <v>Ficha Técnica</v>
      </c>
      <c r="H2042" s="15">
        <v>10</v>
      </c>
      <c r="I2042" s="163">
        <v>1000</v>
      </c>
      <c r="J2042" s="15" t="s">
        <v>1854</v>
      </c>
      <c r="K2042" s="163" t="s">
        <v>46</v>
      </c>
      <c r="L2042" s="15">
        <v>5</v>
      </c>
      <c r="M2042" s="193">
        <v>27.5</v>
      </c>
      <c r="N2042" s="173" t="s">
        <v>571</v>
      </c>
    </row>
    <row r="2043" spans="1:14" x14ac:dyDescent="0.25">
      <c r="A2043" s="63" t="s">
        <v>570</v>
      </c>
      <c r="B2043" s="71" t="s">
        <v>3541</v>
      </c>
      <c r="C2043" s="2">
        <v>4099854026157</v>
      </c>
      <c r="D2043" s="118"/>
      <c r="E2043" s="132"/>
      <c r="F2043" s="28"/>
      <c r="G2043" s="156" t="str">
        <f>HYPERLINK("https://ledvance.com/pt/product-datasheet/245366/229073","Ficha Técnica")</f>
        <v>Ficha Técnica</v>
      </c>
      <c r="H2043" s="15">
        <v>10</v>
      </c>
      <c r="I2043" s="163">
        <v>1100</v>
      </c>
      <c r="J2043" s="15" t="s">
        <v>1854</v>
      </c>
      <c r="K2043" s="163" t="s">
        <v>46</v>
      </c>
      <c r="L2043" s="15">
        <v>5</v>
      </c>
      <c r="M2043" s="193">
        <v>27.5</v>
      </c>
      <c r="N2043" s="173" t="s">
        <v>571</v>
      </c>
    </row>
    <row r="2044" spans="1:14" x14ac:dyDescent="0.25">
      <c r="A2044" s="63" t="s">
        <v>570</v>
      </c>
      <c r="B2044" s="71" t="s">
        <v>3542</v>
      </c>
      <c r="C2044" s="2">
        <v>4099854026218</v>
      </c>
      <c r="D2044" s="118"/>
      <c r="E2044" s="132"/>
      <c r="F2044" s="28"/>
      <c r="G2044" s="156" t="str">
        <f>HYPERLINK("https://ledvance.com/pt/product-datasheet/245366/229076","Ficha Técnica")</f>
        <v>Ficha Técnica</v>
      </c>
      <c r="H2044" s="15">
        <v>10</v>
      </c>
      <c r="I2044" s="163">
        <v>1100</v>
      </c>
      <c r="J2044" s="15" t="s">
        <v>1854</v>
      </c>
      <c r="K2044" s="163" t="s">
        <v>46</v>
      </c>
      <c r="L2044" s="15">
        <v>5</v>
      </c>
      <c r="M2044" s="193">
        <v>27.5</v>
      </c>
      <c r="N2044" s="173" t="s">
        <v>571</v>
      </c>
    </row>
    <row r="2045" spans="1:14" x14ac:dyDescent="0.25">
      <c r="A2045" s="63" t="s">
        <v>570</v>
      </c>
      <c r="B2045" s="71" t="s">
        <v>3543</v>
      </c>
      <c r="C2045" s="2">
        <v>4099854026492</v>
      </c>
      <c r="D2045" s="118"/>
      <c r="E2045" s="132"/>
      <c r="F2045" s="28"/>
      <c r="G2045" s="156" t="str">
        <f>HYPERLINK("https://ledvance.com/pt/product-datasheet/245366/229058","Ficha Técnica")</f>
        <v>Ficha Técnica</v>
      </c>
      <c r="H2045" s="15">
        <v>10</v>
      </c>
      <c r="I2045" s="163">
        <v>1900</v>
      </c>
      <c r="J2045" s="15">
        <v>14</v>
      </c>
      <c r="K2045" s="163" t="s">
        <v>46</v>
      </c>
      <c r="L2045" s="15">
        <v>5</v>
      </c>
      <c r="M2045" s="193">
        <v>31.6</v>
      </c>
      <c r="N2045" s="173" t="s">
        <v>571</v>
      </c>
    </row>
    <row r="2046" spans="1:14" x14ac:dyDescent="0.25">
      <c r="A2046" s="63" t="s">
        <v>570</v>
      </c>
      <c r="B2046" s="71" t="s">
        <v>3544</v>
      </c>
      <c r="C2046" s="2">
        <v>4099854026393</v>
      </c>
      <c r="D2046" s="118"/>
      <c r="E2046" s="132"/>
      <c r="F2046" s="28"/>
      <c r="G2046" s="156" t="str">
        <f>HYPERLINK("https://ledvance.com/pt/product-datasheet/245366/229052","Ficha Técnica")</f>
        <v>Ficha Técnica</v>
      </c>
      <c r="H2046" s="15">
        <v>10</v>
      </c>
      <c r="I2046" s="163">
        <v>2100</v>
      </c>
      <c r="J2046" s="15">
        <v>14</v>
      </c>
      <c r="K2046" s="163" t="s">
        <v>46</v>
      </c>
      <c r="L2046" s="15">
        <v>5</v>
      </c>
      <c r="M2046" s="193">
        <v>31.6</v>
      </c>
      <c r="N2046" s="173" t="s">
        <v>571</v>
      </c>
    </row>
    <row r="2047" spans="1:14" x14ac:dyDescent="0.25">
      <c r="A2047" s="63" t="s">
        <v>570</v>
      </c>
      <c r="B2047" s="71" t="s">
        <v>3545</v>
      </c>
      <c r="C2047" s="2">
        <v>4099854026430</v>
      </c>
      <c r="D2047" s="118"/>
      <c r="E2047" s="132"/>
      <c r="F2047" s="28"/>
      <c r="G2047" s="156" t="str">
        <f>HYPERLINK("https://ledvance.com/pt/product-datasheet/245366/229055","Ficha Técnica")</f>
        <v>Ficha Técnica</v>
      </c>
      <c r="H2047" s="15">
        <v>10</v>
      </c>
      <c r="I2047" s="163">
        <v>2100</v>
      </c>
      <c r="J2047" s="15">
        <v>14</v>
      </c>
      <c r="K2047" s="163" t="s">
        <v>46</v>
      </c>
      <c r="L2047" s="15">
        <v>5</v>
      </c>
      <c r="M2047" s="193">
        <v>31.6</v>
      </c>
      <c r="N2047" s="173" t="s">
        <v>571</v>
      </c>
    </row>
    <row r="2048" spans="1:14" x14ac:dyDescent="0.25">
      <c r="A2048" s="63" t="s">
        <v>570</v>
      </c>
      <c r="B2048" s="71" t="s">
        <v>3546</v>
      </c>
      <c r="C2048" s="2">
        <v>4099854026652</v>
      </c>
      <c r="D2048" s="118"/>
      <c r="E2048" s="132"/>
      <c r="F2048" s="28"/>
      <c r="G2048" s="156" t="str">
        <f>HYPERLINK("https://ledvance.com/pt/product-datasheet/245366/229067","Ficha Técnica")</f>
        <v>Ficha Técnica</v>
      </c>
      <c r="H2048" s="15">
        <v>10</v>
      </c>
      <c r="I2048" s="163">
        <v>2800</v>
      </c>
      <c r="J2048" s="15">
        <v>20</v>
      </c>
      <c r="K2048" s="163" t="s">
        <v>46</v>
      </c>
      <c r="L2048" s="15">
        <v>5</v>
      </c>
      <c r="M2048" s="193">
        <v>35.5</v>
      </c>
      <c r="N2048" s="173" t="s">
        <v>571</v>
      </c>
    </row>
    <row r="2049" spans="1:14" x14ac:dyDescent="0.25">
      <c r="A2049" s="63" t="s">
        <v>570</v>
      </c>
      <c r="B2049" s="71" t="s">
        <v>3547</v>
      </c>
      <c r="C2049" s="2">
        <v>4099854026614</v>
      </c>
      <c r="D2049" s="118"/>
      <c r="E2049" s="132"/>
      <c r="F2049" s="28"/>
      <c r="G2049" s="156" t="str">
        <f>HYPERLINK("https://ledvance.com/pt/product-datasheet/245366/229061","Ficha Técnica")</f>
        <v>Ficha Técnica</v>
      </c>
      <c r="H2049" s="15">
        <v>10</v>
      </c>
      <c r="I2049" s="163">
        <v>3100</v>
      </c>
      <c r="J2049" s="15">
        <v>20</v>
      </c>
      <c r="K2049" s="163" t="s">
        <v>46</v>
      </c>
      <c r="L2049" s="15">
        <v>5</v>
      </c>
      <c r="M2049" s="193">
        <v>35.5</v>
      </c>
      <c r="N2049" s="173" t="s">
        <v>571</v>
      </c>
    </row>
    <row r="2050" spans="1:14" x14ac:dyDescent="0.25">
      <c r="A2050" s="63" t="s">
        <v>570</v>
      </c>
      <c r="B2050" s="71" t="s">
        <v>3548</v>
      </c>
      <c r="C2050" s="2">
        <v>4099854026638</v>
      </c>
      <c r="D2050" s="118"/>
      <c r="E2050" s="132"/>
      <c r="F2050" s="28"/>
      <c r="G2050" s="156" t="str">
        <f>HYPERLINK("https://ledvance.com/pt/product-datasheet/245366/229064","Ficha Técnica")</f>
        <v>Ficha Técnica</v>
      </c>
      <c r="H2050" s="15">
        <v>10</v>
      </c>
      <c r="I2050" s="163">
        <v>3100</v>
      </c>
      <c r="J2050" s="15">
        <v>20</v>
      </c>
      <c r="K2050" s="163" t="s">
        <v>46</v>
      </c>
      <c r="L2050" s="15">
        <v>5</v>
      </c>
      <c r="M2050" s="193">
        <v>35.5</v>
      </c>
      <c r="N2050" s="173" t="s">
        <v>571</v>
      </c>
    </row>
    <row r="2051" spans="1:14" x14ac:dyDescent="0.25">
      <c r="A2051" s="66" t="s">
        <v>570</v>
      </c>
      <c r="B2051" s="73" t="s">
        <v>1447</v>
      </c>
      <c r="C2051" s="52"/>
      <c r="D2051" s="65"/>
      <c r="E2051" s="133"/>
      <c r="F2051" s="29"/>
      <c r="G2051" s="157"/>
      <c r="H2051" s="12"/>
      <c r="I2051" s="62"/>
      <c r="J2051" s="27"/>
      <c r="K2051" s="62"/>
      <c r="L2051" s="12"/>
      <c r="M2051" s="191"/>
      <c r="N2051" s="130"/>
    </row>
    <row r="2052" spans="1:14" x14ac:dyDescent="0.25">
      <c r="A2052" s="63" t="s">
        <v>570</v>
      </c>
      <c r="B2052" s="71" t="s">
        <v>3549</v>
      </c>
      <c r="C2052" s="2">
        <v>4099854026515</v>
      </c>
      <c r="D2052" s="118"/>
      <c r="E2052" s="132"/>
      <c r="F2052" s="25"/>
      <c r="G2052" s="156" t="str">
        <f>HYPERLINK("https://ledvance.com/pt/product-datasheet/245370/229079","Ficha Técnica")</f>
        <v>Ficha Técnica</v>
      </c>
      <c r="H2052" s="15">
        <v>10</v>
      </c>
      <c r="I2052" s="163">
        <v>800</v>
      </c>
      <c r="J2052" s="15">
        <v>8</v>
      </c>
      <c r="K2052" s="163" t="s">
        <v>46</v>
      </c>
      <c r="L2052" s="15">
        <v>3</v>
      </c>
      <c r="M2052" s="193">
        <v>27.1</v>
      </c>
      <c r="N2052" s="173" t="s">
        <v>571</v>
      </c>
    </row>
    <row r="2053" spans="1:14" x14ac:dyDescent="0.25">
      <c r="A2053" s="63" t="s">
        <v>570</v>
      </c>
      <c r="B2053" s="71" t="s">
        <v>3550</v>
      </c>
      <c r="C2053" s="2">
        <v>4099854026539</v>
      </c>
      <c r="D2053" s="118"/>
      <c r="E2053" s="132"/>
      <c r="F2053" s="25"/>
      <c r="G2053" s="156" t="str">
        <f>HYPERLINK("https://ledvance.com/pt/product-datasheet/245370/229082","Ficha Técnica")</f>
        <v>Ficha Técnica</v>
      </c>
      <c r="H2053" s="15">
        <v>10</v>
      </c>
      <c r="I2053" s="163">
        <v>900</v>
      </c>
      <c r="J2053" s="15">
        <v>8</v>
      </c>
      <c r="K2053" s="163" t="s">
        <v>46</v>
      </c>
      <c r="L2053" s="15">
        <v>3</v>
      </c>
      <c r="M2053" s="193">
        <v>27.1</v>
      </c>
      <c r="N2053" s="173" t="s">
        <v>571</v>
      </c>
    </row>
    <row r="2054" spans="1:14" x14ac:dyDescent="0.25">
      <c r="A2054" s="63" t="s">
        <v>570</v>
      </c>
      <c r="B2054" s="71" t="s">
        <v>3551</v>
      </c>
      <c r="C2054" s="2">
        <v>4099854026553</v>
      </c>
      <c r="D2054" s="118"/>
      <c r="E2054" s="132"/>
      <c r="F2054" s="25"/>
      <c r="G2054" s="156" t="str">
        <f>HYPERLINK("https://ledvance.com/pt/product-datasheet/245370/229085","Ficha Técnica")</f>
        <v>Ficha Técnica</v>
      </c>
      <c r="H2054" s="15">
        <v>10</v>
      </c>
      <c r="I2054" s="163">
        <v>900</v>
      </c>
      <c r="J2054" s="15">
        <v>8</v>
      </c>
      <c r="K2054" s="163" t="s">
        <v>46</v>
      </c>
      <c r="L2054" s="15">
        <v>3</v>
      </c>
      <c r="M2054" s="193">
        <v>27.1</v>
      </c>
      <c r="N2054" s="173" t="s">
        <v>571</v>
      </c>
    </row>
    <row r="2055" spans="1:14" x14ac:dyDescent="0.25">
      <c r="A2055" s="63" t="s">
        <v>570</v>
      </c>
      <c r="B2055" s="71" t="s">
        <v>3552</v>
      </c>
      <c r="C2055" s="2">
        <v>4099854026317</v>
      </c>
      <c r="D2055" s="118"/>
      <c r="E2055" s="119"/>
      <c r="F2055" s="25"/>
      <c r="G2055" s="156" t="str">
        <f>HYPERLINK("https://ledvance.com/pt/product-datasheet/245370/229088","Ficha Técnica")</f>
        <v>Ficha Técnica</v>
      </c>
      <c r="H2055" s="15">
        <v>10</v>
      </c>
      <c r="I2055" s="163">
        <v>1850</v>
      </c>
      <c r="J2055" s="15">
        <v>18</v>
      </c>
      <c r="K2055" s="163" t="s">
        <v>46</v>
      </c>
      <c r="L2055" s="15">
        <v>3</v>
      </c>
      <c r="M2055" s="193">
        <v>29.7</v>
      </c>
      <c r="N2055" s="173" t="s">
        <v>571</v>
      </c>
    </row>
    <row r="2056" spans="1:14" x14ac:dyDescent="0.25">
      <c r="A2056" s="63" t="s">
        <v>570</v>
      </c>
      <c r="B2056" s="71" t="s">
        <v>3553</v>
      </c>
      <c r="C2056" s="2">
        <v>4099854026355</v>
      </c>
      <c r="D2056" s="118"/>
      <c r="E2056" s="119"/>
      <c r="F2056" s="25"/>
      <c r="G2056" s="156" t="str">
        <f>HYPERLINK("https://ledvance.com/pt/product-datasheet/245370/229091","Ficha Técnica")</f>
        <v>Ficha Técnica</v>
      </c>
      <c r="H2056" s="15">
        <v>10</v>
      </c>
      <c r="I2056" s="163">
        <v>2000</v>
      </c>
      <c r="J2056" s="15">
        <v>18</v>
      </c>
      <c r="K2056" s="163" t="s">
        <v>46</v>
      </c>
      <c r="L2056" s="15">
        <v>3</v>
      </c>
      <c r="M2056" s="193">
        <v>29.7</v>
      </c>
      <c r="N2056" s="173" t="s">
        <v>571</v>
      </c>
    </row>
    <row r="2057" spans="1:14" x14ac:dyDescent="0.25">
      <c r="A2057" s="63" t="s">
        <v>570</v>
      </c>
      <c r="B2057" s="71" t="s">
        <v>3554</v>
      </c>
      <c r="C2057" s="2">
        <v>4099854026379</v>
      </c>
      <c r="D2057" s="118"/>
      <c r="E2057" s="119"/>
      <c r="F2057" s="25"/>
      <c r="G2057" s="156" t="str">
        <f>HYPERLINK("https://ledvance.com/pt/product-datasheet/245370/229094","Ficha Técnica")</f>
        <v>Ficha Técnica</v>
      </c>
      <c r="H2057" s="15">
        <v>10</v>
      </c>
      <c r="I2057" s="163">
        <v>2000</v>
      </c>
      <c r="J2057" s="15">
        <v>18</v>
      </c>
      <c r="K2057" s="163" t="s">
        <v>46</v>
      </c>
      <c r="L2057" s="15">
        <v>3</v>
      </c>
      <c r="M2057" s="193">
        <v>29.7</v>
      </c>
      <c r="N2057" s="173" t="s">
        <v>571</v>
      </c>
    </row>
    <row r="2058" spans="1:14" x14ac:dyDescent="0.25">
      <c r="A2058" s="63" t="s">
        <v>570</v>
      </c>
      <c r="B2058" s="71" t="s">
        <v>3555</v>
      </c>
      <c r="C2058" s="2">
        <v>4099854026416</v>
      </c>
      <c r="D2058" s="118"/>
      <c r="E2058" s="119"/>
      <c r="F2058" s="25"/>
      <c r="G2058" s="156" t="str">
        <f>HYPERLINK("https://ledvance.com/pt/product-datasheet/245370/229097","Ficha Técnica")</f>
        <v>Ficha Técnica</v>
      </c>
      <c r="H2058" s="15">
        <v>10</v>
      </c>
      <c r="I2058" s="163">
        <v>2550</v>
      </c>
      <c r="J2058" s="15">
        <v>24</v>
      </c>
      <c r="K2058" s="163" t="s">
        <v>46</v>
      </c>
      <c r="L2058" s="15">
        <v>3</v>
      </c>
      <c r="M2058" s="193">
        <v>32.4</v>
      </c>
      <c r="N2058" s="173" t="s">
        <v>571</v>
      </c>
    </row>
    <row r="2059" spans="1:14" x14ac:dyDescent="0.25">
      <c r="A2059" s="63" t="s">
        <v>570</v>
      </c>
      <c r="B2059" s="71" t="s">
        <v>3556</v>
      </c>
      <c r="C2059" s="2">
        <v>4099854026454</v>
      </c>
      <c r="D2059" s="118"/>
      <c r="E2059" s="119"/>
      <c r="F2059" s="25"/>
      <c r="G2059" s="156" t="str">
        <f>HYPERLINK("https://ledvance.com/pt/product-datasheet/245370/229100","Ficha Técnica")</f>
        <v>Ficha Técnica</v>
      </c>
      <c r="H2059" s="15">
        <v>10</v>
      </c>
      <c r="I2059" s="163">
        <v>2800</v>
      </c>
      <c r="J2059" s="15">
        <v>24</v>
      </c>
      <c r="K2059" s="163" t="s">
        <v>46</v>
      </c>
      <c r="L2059" s="15">
        <v>3</v>
      </c>
      <c r="M2059" s="193">
        <v>32.4</v>
      </c>
      <c r="N2059" s="173" t="s">
        <v>571</v>
      </c>
    </row>
    <row r="2060" spans="1:14" x14ac:dyDescent="0.25">
      <c r="A2060" s="63" t="s">
        <v>570</v>
      </c>
      <c r="B2060" s="71" t="s">
        <v>3557</v>
      </c>
      <c r="C2060" s="2">
        <v>4099854026478</v>
      </c>
      <c r="D2060" s="118"/>
      <c r="E2060" s="119"/>
      <c r="F2060" s="25"/>
      <c r="G2060" s="156" t="str">
        <f>HYPERLINK("https://ledvance.com/pt/product-datasheet/245370/229103","Ficha Técnica")</f>
        <v>Ficha Técnica</v>
      </c>
      <c r="H2060" s="15">
        <v>10</v>
      </c>
      <c r="I2060" s="163">
        <v>2800</v>
      </c>
      <c r="J2060" s="15">
        <v>24</v>
      </c>
      <c r="K2060" s="163" t="s">
        <v>46</v>
      </c>
      <c r="L2060" s="15">
        <v>3</v>
      </c>
      <c r="M2060" s="193">
        <v>32.4</v>
      </c>
      <c r="N2060" s="173" t="s">
        <v>571</v>
      </c>
    </row>
    <row r="2061" spans="1:14" x14ac:dyDescent="0.25">
      <c r="A2061" s="66" t="s">
        <v>570</v>
      </c>
      <c r="B2061" s="73" t="s">
        <v>1448</v>
      </c>
      <c r="C2061" s="52"/>
      <c r="D2061" s="65"/>
      <c r="E2061" s="92"/>
      <c r="F2061" s="12"/>
      <c r="G2061" s="157"/>
      <c r="H2061" s="12"/>
      <c r="I2061" s="62"/>
      <c r="J2061" s="27"/>
      <c r="K2061" s="62"/>
      <c r="L2061" s="12"/>
      <c r="M2061" s="191"/>
      <c r="N2061" s="130"/>
    </row>
    <row r="2062" spans="1:14" x14ac:dyDescent="0.25">
      <c r="A2062" s="63" t="s">
        <v>570</v>
      </c>
      <c r="B2062" s="71" t="s">
        <v>3558</v>
      </c>
      <c r="C2062" s="2">
        <v>4099854026133</v>
      </c>
      <c r="D2062" s="118"/>
      <c r="E2062" s="119"/>
      <c r="F2062" s="25"/>
      <c r="G2062" s="156" t="str">
        <f>HYPERLINK("https://ledvance.com/pt/product-datasheet/245373/229021","Ficha Técnica")</f>
        <v>Ficha Técnica</v>
      </c>
      <c r="H2062" s="15">
        <v>10</v>
      </c>
      <c r="I2062" s="163">
        <v>2400</v>
      </c>
      <c r="J2062" s="15">
        <v>15</v>
      </c>
      <c r="K2062" s="163" t="s">
        <v>46</v>
      </c>
      <c r="L2062" s="15">
        <v>5</v>
      </c>
      <c r="M2062" s="193">
        <v>29.3</v>
      </c>
      <c r="N2062" s="173" t="s">
        <v>571</v>
      </c>
    </row>
    <row r="2063" spans="1:14" x14ac:dyDescent="0.25">
      <c r="A2063" s="63" t="s">
        <v>570</v>
      </c>
      <c r="B2063" s="71" t="s">
        <v>3559</v>
      </c>
      <c r="C2063" s="2">
        <v>4099854026171</v>
      </c>
      <c r="D2063" s="118"/>
      <c r="E2063" s="119"/>
      <c r="F2063" s="25"/>
      <c r="G2063" s="156" t="str">
        <f>HYPERLINK("https://ledvance.com/pt/product-datasheet/245373/229025","Ficha Técnica")</f>
        <v>Ficha Técnica</v>
      </c>
      <c r="H2063" s="15">
        <v>10</v>
      </c>
      <c r="I2063" s="163">
        <v>2400</v>
      </c>
      <c r="J2063" s="15">
        <v>15</v>
      </c>
      <c r="K2063" s="163" t="s">
        <v>46</v>
      </c>
      <c r="L2063" s="15">
        <v>5</v>
      </c>
      <c r="M2063" s="193">
        <v>29.3</v>
      </c>
      <c r="N2063" s="173" t="s">
        <v>571</v>
      </c>
    </row>
    <row r="2064" spans="1:14" x14ac:dyDescent="0.25">
      <c r="A2064" s="63" t="s">
        <v>570</v>
      </c>
      <c r="B2064" s="71" t="s">
        <v>3560</v>
      </c>
      <c r="C2064" s="2">
        <v>4099854026195</v>
      </c>
      <c r="D2064" s="118"/>
      <c r="E2064" s="119"/>
      <c r="F2064" s="25"/>
      <c r="G2064" s="156" t="str">
        <f>HYPERLINK("https://ledvance.com/pt/product-datasheet/245373/229028","Ficha Técnica")</f>
        <v>Ficha Técnica</v>
      </c>
      <c r="H2064" s="15">
        <v>10</v>
      </c>
      <c r="I2064" s="163">
        <v>3700</v>
      </c>
      <c r="J2064" s="15">
        <v>23</v>
      </c>
      <c r="K2064" s="163" t="s">
        <v>46</v>
      </c>
      <c r="L2064" s="15">
        <v>5</v>
      </c>
      <c r="M2064" s="193">
        <v>32.299999999999997</v>
      </c>
      <c r="N2064" s="173" t="s">
        <v>571</v>
      </c>
    </row>
    <row r="2065" spans="1:14" x14ac:dyDescent="0.25">
      <c r="A2065" s="63" t="s">
        <v>570</v>
      </c>
      <c r="B2065" s="71" t="s">
        <v>3561</v>
      </c>
      <c r="C2065" s="2">
        <v>4099854026232</v>
      </c>
      <c r="D2065" s="118"/>
      <c r="E2065" s="119"/>
      <c r="F2065" s="25"/>
      <c r="G2065" s="156" t="str">
        <f>HYPERLINK("https://ledvance.com/pt/product-datasheet/245373/229031","Ficha Técnica")</f>
        <v>Ficha Técnica</v>
      </c>
      <c r="H2065" s="15">
        <v>10</v>
      </c>
      <c r="I2065" s="163">
        <v>3700</v>
      </c>
      <c r="J2065" s="15">
        <v>23</v>
      </c>
      <c r="K2065" s="163" t="s">
        <v>46</v>
      </c>
      <c r="L2065" s="15">
        <v>5</v>
      </c>
      <c r="M2065" s="193">
        <v>32.299999999999997</v>
      </c>
      <c r="N2065" s="173" t="s">
        <v>571</v>
      </c>
    </row>
    <row r="2066" spans="1:14" x14ac:dyDescent="0.25">
      <c r="A2066" s="66" t="s">
        <v>570</v>
      </c>
      <c r="B2066" s="73" t="s">
        <v>1449</v>
      </c>
      <c r="C2066" s="52"/>
      <c r="D2066" s="65"/>
      <c r="E2066" s="92"/>
      <c r="F2066" s="12"/>
      <c r="G2066" s="157"/>
      <c r="H2066" s="12"/>
      <c r="I2066" s="62"/>
      <c r="J2066" s="27"/>
      <c r="K2066" s="62"/>
      <c r="L2066" s="12"/>
      <c r="M2066" s="191"/>
      <c r="N2066" s="130"/>
    </row>
    <row r="2067" spans="1:14" x14ac:dyDescent="0.25">
      <c r="A2067" s="63" t="s">
        <v>570</v>
      </c>
      <c r="B2067" s="71" t="s">
        <v>3562</v>
      </c>
      <c r="C2067" s="2">
        <v>4099854026058</v>
      </c>
      <c r="D2067" s="118"/>
      <c r="E2067" s="119"/>
      <c r="F2067" s="25"/>
      <c r="G2067" s="156" t="str">
        <f>HYPERLINK("https://ledvance.com/pt/product-datasheet/245376/229012","Ficha Técnica")</f>
        <v>Ficha Técnica</v>
      </c>
      <c r="H2067" s="15">
        <v>10</v>
      </c>
      <c r="I2067" s="163">
        <v>1000</v>
      </c>
      <c r="J2067" s="15" t="s">
        <v>1854</v>
      </c>
      <c r="K2067" s="163" t="s">
        <v>46</v>
      </c>
      <c r="L2067" s="15">
        <v>5</v>
      </c>
      <c r="M2067" s="193">
        <v>22.1</v>
      </c>
      <c r="N2067" s="173" t="s">
        <v>571</v>
      </c>
    </row>
    <row r="2068" spans="1:14" x14ac:dyDescent="0.25">
      <c r="A2068" s="63" t="s">
        <v>570</v>
      </c>
      <c r="B2068" s="71" t="s">
        <v>3563</v>
      </c>
      <c r="C2068" s="2">
        <v>4099854026072</v>
      </c>
      <c r="D2068" s="118"/>
      <c r="E2068" s="119"/>
      <c r="F2068" s="25"/>
      <c r="G2068" s="156" t="str">
        <f>HYPERLINK("https://ledvance.com/pt/product-datasheet/245376/229015","Ficha Técnica")</f>
        <v>Ficha Técnica</v>
      </c>
      <c r="H2068" s="15">
        <v>10</v>
      </c>
      <c r="I2068" s="163">
        <v>1100</v>
      </c>
      <c r="J2068" s="15" t="s">
        <v>1854</v>
      </c>
      <c r="K2068" s="163" t="s">
        <v>46</v>
      </c>
      <c r="L2068" s="15">
        <v>5</v>
      </c>
      <c r="M2068" s="193">
        <v>22.1</v>
      </c>
      <c r="N2068" s="173" t="s">
        <v>571</v>
      </c>
    </row>
    <row r="2069" spans="1:14" x14ac:dyDescent="0.25">
      <c r="A2069" s="63" t="s">
        <v>570</v>
      </c>
      <c r="B2069" s="71" t="s">
        <v>3564</v>
      </c>
      <c r="C2069" s="2">
        <v>4099854026096</v>
      </c>
      <c r="D2069" s="118"/>
      <c r="E2069" s="119"/>
      <c r="F2069" s="25"/>
      <c r="G2069" s="156" t="str">
        <f>HYPERLINK("https://ledvance.com/pt/product-datasheet/245376/229018","Ficha Técnica")</f>
        <v>Ficha Técnica</v>
      </c>
      <c r="H2069" s="15">
        <v>10</v>
      </c>
      <c r="I2069" s="163">
        <v>1100</v>
      </c>
      <c r="J2069" s="15" t="s">
        <v>1854</v>
      </c>
      <c r="K2069" s="163" t="s">
        <v>46</v>
      </c>
      <c r="L2069" s="15">
        <v>5</v>
      </c>
      <c r="M2069" s="193">
        <v>22.1</v>
      </c>
      <c r="N2069" s="173" t="s">
        <v>571</v>
      </c>
    </row>
    <row r="2070" spans="1:14" x14ac:dyDescent="0.25">
      <c r="A2070" s="63" t="s">
        <v>570</v>
      </c>
      <c r="B2070" s="71" t="s">
        <v>3565</v>
      </c>
      <c r="C2070" s="2">
        <v>4099854025914</v>
      </c>
      <c r="D2070" s="118"/>
      <c r="E2070" s="119"/>
      <c r="F2070" s="25"/>
      <c r="G2070" s="156" t="str">
        <f>HYPERLINK("https://ledvance.com/pt/product-datasheet/245376/228994","Ficha Técnica")</f>
        <v>Ficha Técnica</v>
      </c>
      <c r="H2070" s="15">
        <v>10</v>
      </c>
      <c r="I2070" s="163">
        <v>1900</v>
      </c>
      <c r="J2070" s="15">
        <v>14</v>
      </c>
      <c r="K2070" s="163" t="s">
        <v>46</v>
      </c>
      <c r="L2070" s="15">
        <v>5</v>
      </c>
      <c r="M2070" s="193">
        <v>26.3</v>
      </c>
      <c r="N2070" s="173" t="s">
        <v>571</v>
      </c>
    </row>
    <row r="2071" spans="1:14" x14ac:dyDescent="0.25">
      <c r="A2071" s="63" t="s">
        <v>570</v>
      </c>
      <c r="B2071" s="71" t="s">
        <v>3566</v>
      </c>
      <c r="C2071" s="2">
        <v>4099854025938</v>
      </c>
      <c r="D2071" s="118"/>
      <c r="E2071" s="119"/>
      <c r="F2071" s="25"/>
      <c r="G2071" s="156" t="str">
        <f>HYPERLINK("https://ledvance.com/pt/product-datasheet/245376/228997","Ficha Técnica")</f>
        <v>Ficha Técnica</v>
      </c>
      <c r="H2071" s="15">
        <v>10</v>
      </c>
      <c r="I2071" s="163">
        <v>2100</v>
      </c>
      <c r="J2071" s="15">
        <v>14</v>
      </c>
      <c r="K2071" s="163" t="s">
        <v>46</v>
      </c>
      <c r="L2071" s="15">
        <v>5</v>
      </c>
      <c r="M2071" s="193">
        <v>26.3</v>
      </c>
      <c r="N2071" s="173" t="s">
        <v>571</v>
      </c>
    </row>
    <row r="2072" spans="1:14" x14ac:dyDescent="0.25">
      <c r="A2072" s="63" t="s">
        <v>570</v>
      </c>
      <c r="B2072" s="71" t="s">
        <v>3567</v>
      </c>
      <c r="C2072" s="2">
        <v>4099854025952</v>
      </c>
      <c r="D2072" s="118"/>
      <c r="E2072" s="119"/>
      <c r="F2072" s="25"/>
      <c r="G2072" s="156" t="str">
        <f>HYPERLINK("https://ledvance.com/pt/product-datasheet/245376/229000","Ficha Técnica")</f>
        <v>Ficha Técnica</v>
      </c>
      <c r="H2072" s="15">
        <v>10</v>
      </c>
      <c r="I2072" s="163">
        <v>2100</v>
      </c>
      <c r="J2072" s="15">
        <v>14</v>
      </c>
      <c r="K2072" s="163" t="s">
        <v>46</v>
      </c>
      <c r="L2072" s="15">
        <v>5</v>
      </c>
      <c r="M2072" s="193">
        <v>26.3</v>
      </c>
      <c r="N2072" s="173" t="s">
        <v>571</v>
      </c>
    </row>
    <row r="2073" spans="1:14" x14ac:dyDescent="0.25">
      <c r="A2073" s="63" t="s">
        <v>570</v>
      </c>
      <c r="B2073" s="71" t="s">
        <v>3568</v>
      </c>
      <c r="C2073" s="2">
        <v>4099854025976</v>
      </c>
      <c r="D2073" s="118"/>
      <c r="E2073" s="119"/>
      <c r="F2073" s="25"/>
      <c r="G2073" s="156" t="str">
        <f>HYPERLINK("https://ledvance.com/pt/product-datasheet/245376/229003","Ficha Técnica")</f>
        <v>Ficha Técnica</v>
      </c>
      <c r="H2073" s="15">
        <v>10</v>
      </c>
      <c r="I2073" s="163">
        <v>2800</v>
      </c>
      <c r="J2073" s="15">
        <v>20</v>
      </c>
      <c r="K2073" s="163" t="s">
        <v>46</v>
      </c>
      <c r="L2073" s="15">
        <v>5</v>
      </c>
      <c r="M2073" s="193">
        <v>29</v>
      </c>
      <c r="N2073" s="173" t="s">
        <v>571</v>
      </c>
    </row>
    <row r="2074" spans="1:14" x14ac:dyDescent="0.25">
      <c r="A2074" s="63" t="s">
        <v>570</v>
      </c>
      <c r="B2074" s="71" t="s">
        <v>3569</v>
      </c>
      <c r="C2074" s="2">
        <v>4099854025990</v>
      </c>
      <c r="D2074" s="118"/>
      <c r="E2074" s="119"/>
      <c r="F2074" s="25"/>
      <c r="G2074" s="156" t="str">
        <f>HYPERLINK("https://ledvance.com/pt/product-datasheet/245376/229006","Ficha Técnica")</f>
        <v>Ficha Técnica</v>
      </c>
      <c r="H2074" s="15">
        <v>10</v>
      </c>
      <c r="I2074" s="163">
        <v>3100</v>
      </c>
      <c r="J2074" s="15">
        <v>20</v>
      </c>
      <c r="K2074" s="163" t="s">
        <v>46</v>
      </c>
      <c r="L2074" s="15">
        <v>5</v>
      </c>
      <c r="M2074" s="193">
        <v>29</v>
      </c>
      <c r="N2074" s="173" t="s">
        <v>571</v>
      </c>
    </row>
    <row r="2075" spans="1:14" x14ac:dyDescent="0.25">
      <c r="A2075" s="63" t="s">
        <v>570</v>
      </c>
      <c r="B2075" s="71" t="s">
        <v>3570</v>
      </c>
      <c r="C2075" s="2">
        <v>4099854026010</v>
      </c>
      <c r="D2075" s="118"/>
      <c r="E2075" s="119"/>
      <c r="F2075" s="25"/>
      <c r="G2075" s="156" t="str">
        <f>HYPERLINK("https://ledvance.com/pt/product-datasheet/245376/229009","Ficha Técnica")</f>
        <v>Ficha Técnica</v>
      </c>
      <c r="H2075" s="15">
        <v>10</v>
      </c>
      <c r="I2075" s="163">
        <v>3100</v>
      </c>
      <c r="J2075" s="15">
        <v>20</v>
      </c>
      <c r="K2075" s="163" t="s">
        <v>46</v>
      </c>
      <c r="L2075" s="15">
        <v>5</v>
      </c>
      <c r="M2075" s="193">
        <v>29</v>
      </c>
      <c r="N2075" s="173" t="s">
        <v>571</v>
      </c>
    </row>
    <row r="2076" spans="1:14" x14ac:dyDescent="0.25">
      <c r="A2076" s="66" t="s">
        <v>570</v>
      </c>
      <c r="B2076" s="73" t="s">
        <v>2137</v>
      </c>
      <c r="C2076" s="52"/>
      <c r="D2076" s="65"/>
      <c r="E2076" s="92"/>
      <c r="F2076" s="12"/>
      <c r="G2076" s="157"/>
      <c r="H2076" s="12"/>
      <c r="I2076" s="62"/>
      <c r="J2076" s="27"/>
      <c r="K2076" s="62"/>
      <c r="L2076" s="12"/>
      <c r="M2076" s="191"/>
      <c r="N2076" s="130"/>
    </row>
    <row r="2077" spans="1:14" x14ac:dyDescent="0.25">
      <c r="A2077" s="63" t="s">
        <v>570</v>
      </c>
      <c r="B2077" s="71" t="s">
        <v>3571</v>
      </c>
      <c r="C2077" s="2">
        <v>4099854026256</v>
      </c>
      <c r="D2077" s="118"/>
      <c r="E2077" s="119"/>
      <c r="F2077" s="25"/>
      <c r="G2077" s="156" t="str">
        <f>HYPERLINK("https://ledvance.com/pt/product-datasheet/245378/229034","Ficha Técnica")</f>
        <v>Ficha Técnica</v>
      </c>
      <c r="H2077" s="15">
        <v>10</v>
      </c>
      <c r="I2077" s="163">
        <v>900</v>
      </c>
      <c r="J2077" s="15">
        <v>8</v>
      </c>
      <c r="K2077" s="163" t="s">
        <v>46</v>
      </c>
      <c r="L2077" s="15">
        <v>3</v>
      </c>
      <c r="M2077" s="193">
        <v>20.7</v>
      </c>
      <c r="N2077" s="173" t="s">
        <v>571</v>
      </c>
    </row>
    <row r="2078" spans="1:14" x14ac:dyDescent="0.25">
      <c r="A2078" s="63" t="s">
        <v>570</v>
      </c>
      <c r="B2078" s="71" t="s">
        <v>3572</v>
      </c>
      <c r="C2078" s="2">
        <v>4099854026270</v>
      </c>
      <c r="D2078" s="118"/>
      <c r="E2078" s="119"/>
      <c r="F2078" s="25"/>
      <c r="G2078" s="156" t="str">
        <f>HYPERLINK("https://ledvance.com/pt/product-datasheet/245378/229037","Ficha Técnica")</f>
        <v>Ficha Técnica</v>
      </c>
      <c r="H2078" s="15">
        <v>10</v>
      </c>
      <c r="I2078" s="163">
        <v>900</v>
      </c>
      <c r="J2078" s="15">
        <v>8</v>
      </c>
      <c r="K2078" s="163" t="s">
        <v>46</v>
      </c>
      <c r="L2078" s="15">
        <v>3</v>
      </c>
      <c r="M2078" s="193">
        <v>20.7</v>
      </c>
      <c r="N2078" s="173" t="s">
        <v>571</v>
      </c>
    </row>
    <row r="2079" spans="1:14" x14ac:dyDescent="0.25">
      <c r="A2079" s="66" t="s">
        <v>570</v>
      </c>
      <c r="B2079" s="73" t="s">
        <v>3573</v>
      </c>
      <c r="C2079" s="52"/>
      <c r="D2079" s="65"/>
      <c r="E2079" s="92"/>
      <c r="F2079" s="12"/>
      <c r="G2079" s="157"/>
      <c r="H2079" s="12"/>
      <c r="I2079" s="62"/>
      <c r="J2079" s="27"/>
      <c r="K2079" s="62"/>
      <c r="L2079" s="12"/>
      <c r="M2079" s="191"/>
      <c r="N2079" s="130"/>
    </row>
    <row r="2080" spans="1:14" x14ac:dyDescent="0.25">
      <c r="A2080" s="63" t="s">
        <v>570</v>
      </c>
      <c r="B2080" s="71" t="s">
        <v>3574</v>
      </c>
      <c r="C2080" s="2">
        <v>4099854029059</v>
      </c>
      <c r="D2080" s="118"/>
      <c r="E2080" s="119"/>
      <c r="F2080" s="25"/>
      <c r="G2080" s="156" t="str">
        <f>HYPERLINK("https://ledvance.com/pt/product-datasheet/245161/229918","Ficha Técnica")</f>
        <v>Ficha Técnica</v>
      </c>
      <c r="H2080" s="15">
        <v>10</v>
      </c>
      <c r="I2080" s="163">
        <v>5050</v>
      </c>
      <c r="J2080" s="15">
        <v>36</v>
      </c>
      <c r="K2080" s="163" t="s">
        <v>46</v>
      </c>
      <c r="L2080" s="15">
        <v>5</v>
      </c>
      <c r="M2080" s="193">
        <v>44.2</v>
      </c>
      <c r="N2080" s="173" t="s">
        <v>571</v>
      </c>
    </row>
    <row r="2081" spans="1:14" x14ac:dyDescent="0.25">
      <c r="A2081" s="63" t="s">
        <v>570</v>
      </c>
      <c r="B2081" s="71" t="s">
        <v>3575</v>
      </c>
      <c r="C2081" s="2">
        <v>4099854029073</v>
      </c>
      <c r="D2081" s="118"/>
      <c r="E2081" s="119"/>
      <c r="F2081" s="25"/>
      <c r="G2081" s="156" t="str">
        <f>HYPERLINK("https://ledvance.com/pt/product-datasheet/245161/229921","Ficha Técnica")</f>
        <v>Ficha Técnica</v>
      </c>
      <c r="H2081" s="15">
        <v>10</v>
      </c>
      <c r="I2081" s="163">
        <v>5600</v>
      </c>
      <c r="J2081" s="15">
        <v>36</v>
      </c>
      <c r="K2081" s="163" t="s">
        <v>46</v>
      </c>
      <c r="L2081" s="15">
        <v>5</v>
      </c>
      <c r="M2081" s="193">
        <v>44.2</v>
      </c>
      <c r="N2081" s="173" t="s">
        <v>571</v>
      </c>
    </row>
    <row r="2082" spans="1:14" x14ac:dyDescent="0.25">
      <c r="A2082" s="63" t="s">
        <v>570</v>
      </c>
      <c r="B2082" s="71" t="s">
        <v>3576</v>
      </c>
      <c r="C2082" s="2">
        <v>4099854029097</v>
      </c>
      <c r="D2082" s="118"/>
      <c r="E2082" s="119"/>
      <c r="F2082" s="25"/>
      <c r="G2082" s="156" t="str">
        <f>HYPERLINK("https://ledvance.com/pt/product-datasheet/245161/229924","Ficha Técnica")</f>
        <v>Ficha Técnica</v>
      </c>
      <c r="H2082" s="15">
        <v>10</v>
      </c>
      <c r="I2082" s="163">
        <v>5600</v>
      </c>
      <c r="J2082" s="15">
        <v>36</v>
      </c>
      <c r="K2082" s="163" t="s">
        <v>46</v>
      </c>
      <c r="L2082" s="15">
        <v>5</v>
      </c>
      <c r="M2082" s="193">
        <v>44.2</v>
      </c>
      <c r="N2082" s="173" t="s">
        <v>571</v>
      </c>
    </row>
    <row r="2083" spans="1:14" x14ac:dyDescent="0.25">
      <c r="A2083" s="66" t="s">
        <v>570</v>
      </c>
      <c r="B2083" s="73" t="s">
        <v>3577</v>
      </c>
      <c r="C2083" s="52"/>
      <c r="D2083" s="65"/>
      <c r="E2083" s="92"/>
      <c r="F2083" s="12"/>
      <c r="G2083" s="157"/>
      <c r="H2083" s="12"/>
      <c r="I2083" s="62"/>
      <c r="J2083" s="27"/>
      <c r="K2083" s="62"/>
      <c r="L2083" s="12"/>
      <c r="M2083" s="191"/>
      <c r="N2083" s="130"/>
    </row>
    <row r="2084" spans="1:14" x14ac:dyDescent="0.25">
      <c r="A2084" s="63" t="s">
        <v>570</v>
      </c>
      <c r="B2084" s="71" t="s">
        <v>3578</v>
      </c>
      <c r="C2084" s="2">
        <v>4099854029257</v>
      </c>
      <c r="D2084" s="118"/>
      <c r="E2084" s="119"/>
      <c r="F2084" s="25"/>
      <c r="G2084" s="156" t="str">
        <f>HYPERLINK("https://ledvance.com/pt/product-datasheet/245161/229927","Ficha Técnica")</f>
        <v>Ficha Técnica</v>
      </c>
      <c r="H2084" s="15">
        <v>10</v>
      </c>
      <c r="I2084" s="163">
        <v>3600</v>
      </c>
      <c r="J2084" s="15">
        <v>26</v>
      </c>
      <c r="K2084" s="163" t="s">
        <v>46</v>
      </c>
      <c r="L2084" s="15">
        <v>5</v>
      </c>
      <c r="M2084" s="193">
        <v>41.7</v>
      </c>
      <c r="N2084" s="173" t="s">
        <v>571</v>
      </c>
    </row>
    <row r="2085" spans="1:14" x14ac:dyDescent="0.25">
      <c r="A2085" s="63" t="s">
        <v>570</v>
      </c>
      <c r="B2085" s="71" t="s">
        <v>3579</v>
      </c>
      <c r="C2085" s="2">
        <v>4099854029271</v>
      </c>
      <c r="D2085" s="118"/>
      <c r="E2085" s="119"/>
      <c r="F2085" s="25"/>
      <c r="G2085" s="156" t="str">
        <f>HYPERLINK("https://ledvance.com/pt/product-datasheet/245161/229930","Ficha Técnica")</f>
        <v>Ficha Técnica</v>
      </c>
      <c r="H2085" s="15">
        <v>10</v>
      </c>
      <c r="I2085" s="163">
        <v>4000</v>
      </c>
      <c r="J2085" s="15">
        <v>26</v>
      </c>
      <c r="K2085" s="163" t="s">
        <v>46</v>
      </c>
      <c r="L2085" s="15">
        <v>5</v>
      </c>
      <c r="M2085" s="193">
        <v>41.7</v>
      </c>
      <c r="N2085" s="173" t="s">
        <v>571</v>
      </c>
    </row>
    <row r="2086" spans="1:14" x14ac:dyDescent="0.25">
      <c r="A2086" s="63" t="s">
        <v>570</v>
      </c>
      <c r="B2086" s="71" t="s">
        <v>3580</v>
      </c>
      <c r="C2086" s="2">
        <v>4099854029301</v>
      </c>
      <c r="D2086" s="118"/>
      <c r="E2086" s="119"/>
      <c r="F2086" s="25"/>
      <c r="G2086" s="156" t="str">
        <f>HYPERLINK("https://ledvance.com/pt/product-datasheet/245161/229933","Ficha Técnica")</f>
        <v>Ficha Técnica</v>
      </c>
      <c r="H2086" s="15">
        <v>10</v>
      </c>
      <c r="I2086" s="163">
        <v>4000</v>
      </c>
      <c r="J2086" s="15">
        <v>26</v>
      </c>
      <c r="K2086" s="163" t="s">
        <v>46</v>
      </c>
      <c r="L2086" s="15">
        <v>5</v>
      </c>
      <c r="M2086" s="193">
        <v>41.7</v>
      </c>
      <c r="N2086" s="173" t="s">
        <v>571</v>
      </c>
    </row>
    <row r="2087" spans="1:14" x14ac:dyDescent="0.25">
      <c r="A2087" s="66" t="s">
        <v>570</v>
      </c>
      <c r="B2087" s="73" t="s">
        <v>3581</v>
      </c>
      <c r="C2087" s="52"/>
      <c r="D2087" s="65"/>
      <c r="E2087" s="92"/>
      <c r="F2087" s="12"/>
      <c r="G2087" s="157"/>
      <c r="H2087" s="12"/>
      <c r="I2087" s="62"/>
      <c r="J2087" s="27"/>
      <c r="K2087" s="62"/>
      <c r="L2087" s="12"/>
      <c r="M2087" s="191"/>
      <c r="N2087" s="130"/>
    </row>
    <row r="2088" spans="1:14" x14ac:dyDescent="0.25">
      <c r="A2088" s="63" t="s">
        <v>570</v>
      </c>
      <c r="B2088" s="71" t="s">
        <v>3582</v>
      </c>
      <c r="C2088" s="2">
        <v>4099854029110</v>
      </c>
      <c r="D2088" s="118"/>
      <c r="E2088" s="119"/>
      <c r="F2088" s="25"/>
      <c r="G2088" s="156" t="str">
        <f>HYPERLINK("https://ledvance.com/pt/product-datasheet/245161/229936","Ficha Técnica")</f>
        <v>Ficha Técnica</v>
      </c>
      <c r="H2088" s="15">
        <v>10</v>
      </c>
      <c r="I2088" s="163">
        <v>3600</v>
      </c>
      <c r="J2088" s="15">
        <v>26</v>
      </c>
      <c r="K2088" s="163" t="s">
        <v>46</v>
      </c>
      <c r="L2088" s="15">
        <v>5</v>
      </c>
      <c r="M2088" s="193">
        <v>39.299999999999997</v>
      </c>
      <c r="N2088" s="173" t="s">
        <v>571</v>
      </c>
    </row>
    <row r="2089" spans="1:14" x14ac:dyDescent="0.25">
      <c r="A2089" s="63" t="s">
        <v>570</v>
      </c>
      <c r="B2089" s="71" t="s">
        <v>3583</v>
      </c>
      <c r="C2089" s="2">
        <v>4099854029134</v>
      </c>
      <c r="D2089" s="118"/>
      <c r="E2089" s="119"/>
      <c r="F2089" s="25"/>
      <c r="G2089" s="156" t="str">
        <f>HYPERLINK("https://ledvance.com/pt/product-datasheet/245161/229939","Ficha Técnica")</f>
        <v>Ficha Técnica</v>
      </c>
      <c r="H2089" s="15">
        <v>10</v>
      </c>
      <c r="I2089" s="163">
        <v>4000</v>
      </c>
      <c r="J2089" s="15">
        <v>26</v>
      </c>
      <c r="K2089" s="163" t="s">
        <v>46</v>
      </c>
      <c r="L2089" s="15">
        <v>5</v>
      </c>
      <c r="M2089" s="193">
        <v>39.299999999999997</v>
      </c>
      <c r="N2089" s="173" t="s">
        <v>571</v>
      </c>
    </row>
    <row r="2090" spans="1:14" x14ac:dyDescent="0.25">
      <c r="A2090" s="63" t="s">
        <v>570</v>
      </c>
      <c r="B2090" s="71" t="s">
        <v>3584</v>
      </c>
      <c r="C2090" s="2">
        <v>4099854029158</v>
      </c>
      <c r="D2090" s="118"/>
      <c r="E2090" s="119"/>
      <c r="F2090" s="25"/>
      <c r="G2090" s="156" t="str">
        <f>HYPERLINK("https://ledvance.com/pt/product-datasheet/245161/229942","Ficha Técnica")</f>
        <v>Ficha Técnica</v>
      </c>
      <c r="H2090" s="15">
        <v>10</v>
      </c>
      <c r="I2090" s="163">
        <v>4000</v>
      </c>
      <c r="J2090" s="15">
        <v>26</v>
      </c>
      <c r="K2090" s="163" t="s">
        <v>46</v>
      </c>
      <c r="L2090" s="15">
        <v>5</v>
      </c>
      <c r="M2090" s="193">
        <v>39.299999999999997</v>
      </c>
      <c r="N2090" s="173" t="s">
        <v>571</v>
      </c>
    </row>
    <row r="2091" spans="1:14" x14ac:dyDescent="0.25">
      <c r="A2091" s="66" t="s">
        <v>570</v>
      </c>
      <c r="B2091" s="73" t="s">
        <v>3585</v>
      </c>
      <c r="C2091" s="52"/>
      <c r="D2091" s="65"/>
      <c r="E2091" s="92"/>
      <c r="F2091" s="12"/>
      <c r="G2091" s="157"/>
      <c r="H2091" s="12"/>
      <c r="I2091" s="62"/>
      <c r="J2091" s="27"/>
      <c r="K2091" s="62"/>
      <c r="L2091" s="12"/>
      <c r="M2091" s="191"/>
      <c r="N2091" s="130"/>
    </row>
    <row r="2092" spans="1:14" x14ac:dyDescent="0.25">
      <c r="A2092" s="63" t="s">
        <v>570</v>
      </c>
      <c r="B2092" s="71" t="s">
        <v>3586</v>
      </c>
      <c r="C2092" s="2">
        <v>4099854029172</v>
      </c>
      <c r="D2092" s="118"/>
      <c r="E2092" s="119"/>
      <c r="F2092" s="25"/>
      <c r="G2092" s="156" t="str">
        <f>HYPERLINK("https://ledvance.com/pt/product-datasheet/245161/229945","Ficha Técnica")</f>
        <v>Ficha Técnica</v>
      </c>
      <c r="H2092" s="15">
        <v>10</v>
      </c>
      <c r="I2092" s="163">
        <v>2550</v>
      </c>
      <c r="J2092" s="15">
        <v>18</v>
      </c>
      <c r="K2092" s="163" t="s">
        <v>46</v>
      </c>
      <c r="L2092" s="15">
        <v>5</v>
      </c>
      <c r="M2092" s="193">
        <v>37.799999999999997</v>
      </c>
      <c r="N2092" s="173" t="s">
        <v>571</v>
      </c>
    </row>
    <row r="2093" spans="1:14" x14ac:dyDescent="0.25">
      <c r="A2093" s="63" t="s">
        <v>570</v>
      </c>
      <c r="B2093" s="71" t="s">
        <v>3587</v>
      </c>
      <c r="C2093" s="2">
        <v>4099854029196</v>
      </c>
      <c r="D2093" s="118"/>
      <c r="E2093" s="119"/>
      <c r="F2093" s="25"/>
      <c r="G2093" s="156" t="str">
        <f>HYPERLINK("https://ledvance.com/pt/product-datasheet/245161/229948","Ficha Técnica")</f>
        <v>Ficha Técnica</v>
      </c>
      <c r="H2093" s="15">
        <v>10</v>
      </c>
      <c r="I2093" s="163">
        <v>2800</v>
      </c>
      <c r="J2093" s="15">
        <v>18</v>
      </c>
      <c r="K2093" s="163" t="s">
        <v>46</v>
      </c>
      <c r="L2093" s="15">
        <v>5</v>
      </c>
      <c r="M2093" s="193">
        <v>37.799999999999997</v>
      </c>
      <c r="N2093" s="173" t="s">
        <v>571</v>
      </c>
    </row>
    <row r="2094" spans="1:14" x14ac:dyDescent="0.25">
      <c r="A2094" s="63" t="s">
        <v>570</v>
      </c>
      <c r="B2094" s="71" t="s">
        <v>3588</v>
      </c>
      <c r="C2094" s="2">
        <v>4099854029219</v>
      </c>
      <c r="D2094" s="118"/>
      <c r="E2094" s="119"/>
      <c r="F2094" s="25"/>
      <c r="G2094" s="156" t="str">
        <f>HYPERLINK("https://ledvance.com/pt/product-datasheet/245161/229951","Ficha Técnica")</f>
        <v>Ficha Técnica</v>
      </c>
      <c r="H2094" s="15">
        <v>10</v>
      </c>
      <c r="I2094" s="163">
        <v>2800</v>
      </c>
      <c r="J2094" s="15">
        <v>18</v>
      </c>
      <c r="K2094" s="163" t="s">
        <v>46</v>
      </c>
      <c r="L2094" s="15">
        <v>5</v>
      </c>
      <c r="M2094" s="193">
        <v>37.799999999999997</v>
      </c>
      <c r="N2094" s="173" t="s">
        <v>571</v>
      </c>
    </row>
    <row r="2095" spans="1:14" x14ac:dyDescent="0.25">
      <c r="A2095" s="66" t="s">
        <v>570</v>
      </c>
      <c r="B2095" s="73" t="s">
        <v>3589</v>
      </c>
      <c r="C2095" s="52"/>
      <c r="D2095" s="65"/>
      <c r="E2095" s="92"/>
      <c r="F2095" s="12"/>
      <c r="G2095" s="157"/>
      <c r="H2095" s="12"/>
      <c r="I2095" s="62"/>
      <c r="J2095" s="27"/>
      <c r="K2095" s="62"/>
      <c r="L2095" s="12"/>
      <c r="M2095" s="191"/>
      <c r="N2095" s="130"/>
    </row>
    <row r="2096" spans="1:14" x14ac:dyDescent="0.25">
      <c r="A2096" s="63" t="s">
        <v>570</v>
      </c>
      <c r="B2096" s="71" t="s">
        <v>3590</v>
      </c>
      <c r="C2096" s="2">
        <v>4099854029325</v>
      </c>
      <c r="D2096" s="118"/>
      <c r="E2096" s="119"/>
      <c r="F2096" s="25"/>
      <c r="G2096" s="156" t="str">
        <f>HYPERLINK("https://ledvance.com/pt/product-datasheet/245161/229954","Ficha Técnica")</f>
        <v>Ficha Técnica</v>
      </c>
      <c r="H2096" s="15">
        <v>10</v>
      </c>
      <c r="I2096" s="163">
        <v>2160</v>
      </c>
      <c r="J2096" s="15">
        <v>16</v>
      </c>
      <c r="K2096" s="163" t="s">
        <v>46</v>
      </c>
      <c r="L2096" s="15">
        <v>5</v>
      </c>
      <c r="M2096" s="193">
        <v>35.299999999999997</v>
      </c>
      <c r="N2096" s="173" t="s">
        <v>571</v>
      </c>
    </row>
    <row r="2097" spans="1:14" x14ac:dyDescent="0.25">
      <c r="A2097" s="63" t="s">
        <v>570</v>
      </c>
      <c r="B2097" s="71" t="s">
        <v>3591</v>
      </c>
      <c r="C2097" s="2">
        <v>4099854029349</v>
      </c>
      <c r="D2097" s="118"/>
      <c r="E2097" s="119"/>
      <c r="F2097" s="25"/>
      <c r="G2097" s="156" t="str">
        <f>HYPERLINK("https://ledvance.com/pt/product-datasheet/245161/229957","Ficha Técnica")</f>
        <v>Ficha Técnica</v>
      </c>
      <c r="H2097" s="15">
        <v>10</v>
      </c>
      <c r="I2097" s="163">
        <v>2400</v>
      </c>
      <c r="J2097" s="15">
        <v>16</v>
      </c>
      <c r="K2097" s="163" t="s">
        <v>46</v>
      </c>
      <c r="L2097" s="15">
        <v>5</v>
      </c>
      <c r="M2097" s="193">
        <v>35.299999999999997</v>
      </c>
      <c r="N2097" s="173" t="s">
        <v>571</v>
      </c>
    </row>
    <row r="2098" spans="1:14" x14ac:dyDescent="0.25">
      <c r="A2098" s="63" t="s">
        <v>570</v>
      </c>
      <c r="B2098" s="71" t="s">
        <v>3592</v>
      </c>
      <c r="C2098" s="2">
        <v>4099854029363</v>
      </c>
      <c r="D2098" s="118"/>
      <c r="E2098" s="119"/>
      <c r="F2098" s="25"/>
      <c r="G2098" s="156" t="str">
        <f>HYPERLINK("https://ledvance.com/pt/product-datasheet/245161/229960","Ficha Técnica")</f>
        <v>Ficha Técnica</v>
      </c>
      <c r="H2098" s="15">
        <v>10</v>
      </c>
      <c r="I2098" s="163">
        <v>2400</v>
      </c>
      <c r="J2098" s="15">
        <v>16</v>
      </c>
      <c r="K2098" s="163" t="s">
        <v>46</v>
      </c>
      <c r="L2098" s="15">
        <v>5</v>
      </c>
      <c r="M2098" s="193">
        <v>35.299999999999997</v>
      </c>
      <c r="N2098" s="173" t="s">
        <v>571</v>
      </c>
    </row>
    <row r="2099" spans="1:14" x14ac:dyDescent="0.25">
      <c r="A2099" s="66" t="s">
        <v>570</v>
      </c>
      <c r="B2099" s="73" t="s">
        <v>3593</v>
      </c>
      <c r="C2099" s="52"/>
      <c r="D2099" s="65"/>
      <c r="E2099" s="92"/>
      <c r="F2099" s="12"/>
      <c r="G2099" s="157"/>
      <c r="H2099" s="12"/>
      <c r="I2099" s="62"/>
      <c r="J2099" s="27"/>
      <c r="K2099" s="62"/>
      <c r="L2099" s="12"/>
      <c r="M2099" s="191"/>
      <c r="N2099" s="130"/>
    </row>
    <row r="2100" spans="1:14" x14ac:dyDescent="0.25">
      <c r="A2100" s="63" t="s">
        <v>570</v>
      </c>
      <c r="B2100" s="71" t="s">
        <v>3594</v>
      </c>
      <c r="C2100" s="2">
        <v>4099854029387</v>
      </c>
      <c r="D2100" s="118"/>
      <c r="E2100" s="119"/>
      <c r="F2100" s="25"/>
      <c r="G2100" s="156" t="str">
        <f>HYPERLINK("https://ledvance.com/pt/product-datasheet/245161/229963","Ficha Técnica")</f>
        <v>Ficha Técnica</v>
      </c>
      <c r="H2100" s="15">
        <v>10</v>
      </c>
      <c r="I2100" s="163">
        <v>1350</v>
      </c>
      <c r="J2100" s="15">
        <v>10</v>
      </c>
      <c r="K2100" s="163" t="s">
        <v>46</v>
      </c>
      <c r="L2100" s="15">
        <v>5</v>
      </c>
      <c r="M2100" s="193">
        <v>33.9</v>
      </c>
      <c r="N2100" s="173" t="s">
        <v>571</v>
      </c>
    </row>
    <row r="2101" spans="1:14" x14ac:dyDescent="0.25">
      <c r="A2101" s="63" t="s">
        <v>570</v>
      </c>
      <c r="B2101" s="71" t="s">
        <v>3595</v>
      </c>
      <c r="C2101" s="2">
        <v>4099854029400</v>
      </c>
      <c r="D2101" s="118"/>
      <c r="E2101" s="119"/>
      <c r="F2101" s="25"/>
      <c r="G2101" s="156" t="str">
        <f>HYPERLINK("https://ledvance.com/pt/product-datasheet/245161/229966","Ficha Técnica")</f>
        <v>Ficha Técnica</v>
      </c>
      <c r="H2101" s="15">
        <v>10</v>
      </c>
      <c r="I2101" s="163">
        <v>1500</v>
      </c>
      <c r="J2101" s="15">
        <v>10</v>
      </c>
      <c r="K2101" s="163" t="s">
        <v>46</v>
      </c>
      <c r="L2101" s="15">
        <v>5</v>
      </c>
      <c r="M2101" s="193">
        <v>33.9</v>
      </c>
      <c r="N2101" s="173" t="s">
        <v>571</v>
      </c>
    </row>
    <row r="2102" spans="1:14" x14ac:dyDescent="0.25">
      <c r="A2102" s="63" t="s">
        <v>570</v>
      </c>
      <c r="B2102" s="71" t="s">
        <v>3596</v>
      </c>
      <c r="C2102" s="2">
        <v>4099854029424</v>
      </c>
      <c r="D2102" s="118"/>
      <c r="E2102" s="119"/>
      <c r="F2102" s="25"/>
      <c r="G2102" s="156" t="str">
        <f>HYPERLINK("https://ledvance.com/pt/product-datasheet/245161/229969","Ficha Técnica")</f>
        <v>Ficha Técnica</v>
      </c>
      <c r="H2102" s="15">
        <v>10</v>
      </c>
      <c r="I2102" s="163">
        <v>1500</v>
      </c>
      <c r="J2102" s="15">
        <v>10</v>
      </c>
      <c r="K2102" s="163" t="s">
        <v>46</v>
      </c>
      <c r="L2102" s="15">
        <v>5</v>
      </c>
      <c r="M2102" s="193">
        <v>33.9</v>
      </c>
      <c r="N2102" s="173" t="s">
        <v>571</v>
      </c>
    </row>
    <row r="2103" spans="1:14" x14ac:dyDescent="0.25">
      <c r="A2103" s="66" t="s">
        <v>570</v>
      </c>
      <c r="B2103" s="73" t="s">
        <v>3597</v>
      </c>
      <c r="C2103" s="52"/>
      <c r="D2103" s="65"/>
      <c r="E2103" s="92"/>
      <c r="F2103" s="12"/>
      <c r="G2103" s="157"/>
      <c r="H2103" s="12"/>
      <c r="I2103" s="62"/>
      <c r="J2103" s="27"/>
      <c r="K2103" s="62"/>
      <c r="L2103" s="12"/>
      <c r="M2103" s="191"/>
      <c r="N2103" s="130"/>
    </row>
    <row r="2104" spans="1:14" x14ac:dyDescent="0.25">
      <c r="A2104" s="63" t="s">
        <v>570</v>
      </c>
      <c r="B2104" s="71" t="s">
        <v>3598</v>
      </c>
      <c r="C2104" s="2">
        <v>4099854029448</v>
      </c>
      <c r="D2104" s="118"/>
      <c r="E2104" s="119"/>
      <c r="F2104" s="25"/>
      <c r="G2104" s="156" t="str">
        <f>HYPERLINK("https://ledvance.com/pt/product-datasheet/245161/229972","Ficha Técnica")</f>
        <v>Ficha Técnica</v>
      </c>
      <c r="H2104" s="15">
        <v>10</v>
      </c>
      <c r="I2104" s="163">
        <v>900</v>
      </c>
      <c r="J2104" s="15">
        <v>7</v>
      </c>
      <c r="K2104" s="163" t="s">
        <v>46</v>
      </c>
      <c r="L2104" s="15">
        <v>5</v>
      </c>
      <c r="M2104" s="193">
        <v>31.9</v>
      </c>
      <c r="N2104" s="173" t="s">
        <v>571</v>
      </c>
    </row>
    <row r="2105" spans="1:14" x14ac:dyDescent="0.25">
      <c r="A2105" s="63" t="s">
        <v>570</v>
      </c>
      <c r="B2105" s="71" t="s">
        <v>3599</v>
      </c>
      <c r="C2105" s="2">
        <v>4099854029462</v>
      </c>
      <c r="D2105" s="118"/>
      <c r="E2105" s="119"/>
      <c r="F2105" s="25"/>
      <c r="G2105" s="156" t="str">
        <f>HYPERLINK("https://ledvance.com/pt/product-datasheet/245161/229975","Ficha Técnica")</f>
        <v>Ficha Técnica</v>
      </c>
      <c r="H2105" s="15">
        <v>10</v>
      </c>
      <c r="I2105" s="163">
        <v>1000</v>
      </c>
      <c r="J2105" s="15">
        <v>7</v>
      </c>
      <c r="K2105" s="163" t="s">
        <v>46</v>
      </c>
      <c r="L2105" s="15">
        <v>5</v>
      </c>
      <c r="M2105" s="193">
        <v>31.9</v>
      </c>
      <c r="N2105" s="173" t="s">
        <v>571</v>
      </c>
    </row>
    <row r="2106" spans="1:14" x14ac:dyDescent="0.25">
      <c r="A2106" s="63" t="s">
        <v>570</v>
      </c>
      <c r="B2106" s="71" t="s">
        <v>3600</v>
      </c>
      <c r="C2106" s="2">
        <v>4099854029486</v>
      </c>
      <c r="D2106" s="118"/>
      <c r="E2106" s="119"/>
      <c r="F2106" s="25"/>
      <c r="G2106" s="156" t="str">
        <f>HYPERLINK("https://ledvance.com/pt/product-datasheet/245161/229978","Ficha Técnica")</f>
        <v>Ficha Técnica</v>
      </c>
      <c r="H2106" s="15">
        <v>10</v>
      </c>
      <c r="I2106" s="163">
        <v>1000</v>
      </c>
      <c r="J2106" s="15">
        <v>7</v>
      </c>
      <c r="K2106" s="163" t="s">
        <v>46</v>
      </c>
      <c r="L2106" s="15">
        <v>5</v>
      </c>
      <c r="M2106" s="193">
        <v>31.9</v>
      </c>
      <c r="N2106" s="173" t="s">
        <v>571</v>
      </c>
    </row>
    <row r="2107" spans="1:14" x14ac:dyDescent="0.25">
      <c r="A2107" s="66" t="s">
        <v>570</v>
      </c>
      <c r="B2107" s="73" t="s">
        <v>3601</v>
      </c>
      <c r="C2107" s="52"/>
      <c r="D2107" s="65"/>
      <c r="E2107" s="92"/>
      <c r="F2107" s="12"/>
      <c r="G2107" s="157"/>
      <c r="H2107" s="12"/>
      <c r="I2107" s="62"/>
      <c r="J2107" s="27"/>
      <c r="K2107" s="62"/>
      <c r="L2107" s="12"/>
      <c r="M2107" s="191"/>
      <c r="N2107" s="130"/>
    </row>
    <row r="2108" spans="1:14" x14ac:dyDescent="0.25">
      <c r="A2108" s="63" t="s">
        <v>570</v>
      </c>
      <c r="B2108" s="71" t="s">
        <v>3602</v>
      </c>
      <c r="C2108" s="59">
        <v>4058075824058</v>
      </c>
      <c r="D2108" s="118"/>
      <c r="E2108" s="119"/>
      <c r="F2108" s="25"/>
      <c r="G2108" s="156" t="str">
        <f>HYPERLINK("https://ledvance.com/pt/product-datasheet/247502/243771","Ficha Técnica")</f>
        <v>Ficha Técnica</v>
      </c>
      <c r="H2108" s="15">
        <v>10</v>
      </c>
      <c r="I2108" s="163">
        <v>5050</v>
      </c>
      <c r="J2108" s="15">
        <v>36</v>
      </c>
      <c r="K2108" s="163" t="s">
        <v>46</v>
      </c>
      <c r="L2108" s="15">
        <v>5</v>
      </c>
      <c r="M2108" s="193">
        <v>40</v>
      </c>
      <c r="N2108" s="173" t="s">
        <v>571</v>
      </c>
    </row>
    <row r="2109" spans="1:14" x14ac:dyDescent="0.25">
      <c r="A2109" s="63" t="s">
        <v>570</v>
      </c>
      <c r="B2109" s="71" t="s">
        <v>3603</v>
      </c>
      <c r="C2109" s="59">
        <v>4058075824072</v>
      </c>
      <c r="D2109" s="118"/>
      <c r="E2109" s="119"/>
      <c r="F2109" s="25"/>
      <c r="G2109" s="156" t="str">
        <f>HYPERLINK("https://ledvance.com/pt/product-datasheet/247502/243774","Ficha Técnica")</f>
        <v>Ficha Técnica</v>
      </c>
      <c r="H2109" s="15">
        <v>10</v>
      </c>
      <c r="I2109" s="163">
        <v>5600</v>
      </c>
      <c r="J2109" s="15">
        <v>36</v>
      </c>
      <c r="K2109" s="163" t="s">
        <v>46</v>
      </c>
      <c r="L2109" s="15">
        <v>5</v>
      </c>
      <c r="M2109" s="193">
        <v>40</v>
      </c>
      <c r="N2109" s="173" t="s">
        <v>571</v>
      </c>
    </row>
    <row r="2110" spans="1:14" x14ac:dyDescent="0.25">
      <c r="A2110" s="63" t="s">
        <v>570</v>
      </c>
      <c r="B2110" s="71" t="s">
        <v>3604</v>
      </c>
      <c r="C2110" s="59">
        <v>4058075824096</v>
      </c>
      <c r="D2110" s="118"/>
      <c r="E2110" s="119"/>
      <c r="F2110" s="25"/>
      <c r="G2110" s="156" t="str">
        <f>HYPERLINK("https://ledvance.com/pt/product-datasheet/247502/243777","Ficha Técnica")</f>
        <v>Ficha Técnica</v>
      </c>
      <c r="H2110" s="15">
        <v>10</v>
      </c>
      <c r="I2110" s="163">
        <v>5600</v>
      </c>
      <c r="J2110" s="15">
        <v>36</v>
      </c>
      <c r="K2110" s="163" t="s">
        <v>46</v>
      </c>
      <c r="L2110" s="15">
        <v>5</v>
      </c>
      <c r="M2110" s="193">
        <v>40</v>
      </c>
      <c r="N2110" s="173" t="s">
        <v>571</v>
      </c>
    </row>
    <row r="2111" spans="1:14" x14ac:dyDescent="0.25">
      <c r="A2111" s="66" t="s">
        <v>570</v>
      </c>
      <c r="B2111" s="73" t="s">
        <v>3605</v>
      </c>
      <c r="C2111" s="52"/>
      <c r="D2111" s="65"/>
      <c r="E2111" s="92"/>
      <c r="F2111" s="12"/>
      <c r="G2111" s="157"/>
      <c r="H2111" s="12"/>
      <c r="I2111" s="62"/>
      <c r="J2111" s="27"/>
      <c r="K2111" s="62"/>
      <c r="L2111" s="12"/>
      <c r="M2111" s="191"/>
      <c r="N2111" s="130"/>
    </row>
    <row r="2112" spans="1:14" x14ac:dyDescent="0.25">
      <c r="A2112" s="63" t="s">
        <v>570</v>
      </c>
      <c r="B2112" s="71" t="s">
        <v>3606</v>
      </c>
      <c r="C2112" s="59">
        <v>4058075824119</v>
      </c>
      <c r="D2112" s="118"/>
      <c r="E2112" s="119"/>
      <c r="F2112" s="25"/>
      <c r="G2112" s="156" t="str">
        <f>HYPERLINK("https://ledvance.com/pt/product-datasheet/247502/243780","Ficha Técnica")</f>
        <v>Ficha Técnica</v>
      </c>
      <c r="H2112" s="15">
        <v>10</v>
      </c>
      <c r="I2112" s="163">
        <v>3600</v>
      </c>
      <c r="J2112" s="15">
        <v>26</v>
      </c>
      <c r="K2112" s="163" t="s">
        <v>46</v>
      </c>
      <c r="L2112" s="15">
        <v>5</v>
      </c>
      <c r="M2112" s="193">
        <v>35.299999999999997</v>
      </c>
      <c r="N2112" s="173" t="s">
        <v>571</v>
      </c>
    </row>
    <row r="2113" spans="1:14" x14ac:dyDescent="0.25">
      <c r="A2113" s="63" t="s">
        <v>570</v>
      </c>
      <c r="B2113" s="71" t="s">
        <v>3607</v>
      </c>
      <c r="C2113" s="59">
        <v>4058075824133</v>
      </c>
      <c r="D2113" s="118"/>
      <c r="E2113" s="119"/>
      <c r="F2113" s="25"/>
      <c r="G2113" s="156" t="str">
        <f>HYPERLINK("https://ledvance.com/pt/product-datasheet/247502/243783","Ficha Técnica")</f>
        <v>Ficha Técnica</v>
      </c>
      <c r="H2113" s="15">
        <v>10</v>
      </c>
      <c r="I2113" s="163">
        <v>4000</v>
      </c>
      <c r="J2113" s="15">
        <v>26</v>
      </c>
      <c r="K2113" s="163" t="s">
        <v>46</v>
      </c>
      <c r="L2113" s="15">
        <v>5</v>
      </c>
      <c r="M2113" s="193">
        <v>35.299999999999997</v>
      </c>
      <c r="N2113" s="173" t="s">
        <v>571</v>
      </c>
    </row>
    <row r="2114" spans="1:14" x14ac:dyDescent="0.25">
      <c r="A2114" s="63" t="s">
        <v>570</v>
      </c>
      <c r="B2114" s="71" t="s">
        <v>3608</v>
      </c>
      <c r="C2114" s="59">
        <v>4058075824157</v>
      </c>
      <c r="D2114" s="118"/>
      <c r="E2114" s="119"/>
      <c r="F2114" s="25"/>
      <c r="G2114" s="156" t="str">
        <f>HYPERLINK("https://ledvance.com/pt/product-datasheet/247502/243786","Ficha Técnica")</f>
        <v>Ficha Técnica</v>
      </c>
      <c r="H2114" s="15">
        <v>10</v>
      </c>
      <c r="I2114" s="163">
        <v>4000</v>
      </c>
      <c r="J2114" s="15">
        <v>26</v>
      </c>
      <c r="K2114" s="163" t="s">
        <v>46</v>
      </c>
      <c r="L2114" s="15">
        <v>5</v>
      </c>
      <c r="M2114" s="193">
        <v>35.299999999999997</v>
      </c>
      <c r="N2114" s="173" t="s">
        <v>571</v>
      </c>
    </row>
    <row r="2115" spans="1:14" x14ac:dyDescent="0.25">
      <c r="A2115" s="66" t="s">
        <v>570</v>
      </c>
      <c r="B2115" s="73" t="s">
        <v>3609</v>
      </c>
      <c r="C2115" s="52"/>
      <c r="D2115" s="65"/>
      <c r="E2115" s="92"/>
      <c r="F2115" s="12"/>
      <c r="G2115" s="157"/>
      <c r="H2115" s="12"/>
      <c r="I2115" s="62"/>
      <c r="J2115" s="27"/>
      <c r="K2115" s="62"/>
      <c r="L2115" s="12"/>
      <c r="M2115" s="191"/>
      <c r="N2115" s="130"/>
    </row>
    <row r="2116" spans="1:14" x14ac:dyDescent="0.25">
      <c r="A2116" s="63" t="s">
        <v>570</v>
      </c>
      <c r="B2116" s="71" t="s">
        <v>3610</v>
      </c>
      <c r="C2116" s="59">
        <v>4058075824171</v>
      </c>
      <c r="D2116" s="118"/>
      <c r="E2116" s="119"/>
      <c r="F2116" s="25"/>
      <c r="G2116" s="156" t="str">
        <f>HYPERLINK("https://ledvance.com/pt/product-datasheet/247502/243789","Ficha Técnica")</f>
        <v>Ficha Técnica</v>
      </c>
      <c r="H2116" s="15">
        <v>10</v>
      </c>
      <c r="I2116" s="163">
        <v>3600</v>
      </c>
      <c r="J2116" s="15">
        <v>26</v>
      </c>
      <c r="K2116" s="163" t="s">
        <v>46</v>
      </c>
      <c r="L2116" s="15">
        <v>5</v>
      </c>
      <c r="M2116" s="193">
        <v>34</v>
      </c>
      <c r="N2116" s="173" t="s">
        <v>571</v>
      </c>
    </row>
    <row r="2117" spans="1:14" x14ac:dyDescent="0.25">
      <c r="A2117" s="63" t="s">
        <v>570</v>
      </c>
      <c r="B2117" s="71" t="s">
        <v>3611</v>
      </c>
      <c r="C2117" s="59">
        <v>4058075824195</v>
      </c>
      <c r="D2117" s="118"/>
      <c r="E2117" s="119"/>
      <c r="F2117" s="25"/>
      <c r="G2117" s="156" t="str">
        <f>HYPERLINK("https://ledvance.com/pt/product-datasheet/247502/243792","Ficha Técnica")</f>
        <v>Ficha Técnica</v>
      </c>
      <c r="H2117" s="15">
        <v>10</v>
      </c>
      <c r="I2117" s="163">
        <v>4000</v>
      </c>
      <c r="J2117" s="15">
        <v>26</v>
      </c>
      <c r="K2117" s="163" t="s">
        <v>46</v>
      </c>
      <c r="L2117" s="15">
        <v>5</v>
      </c>
      <c r="M2117" s="193">
        <v>34</v>
      </c>
      <c r="N2117" s="173" t="s">
        <v>571</v>
      </c>
    </row>
    <row r="2118" spans="1:14" x14ac:dyDescent="0.25">
      <c r="A2118" s="63" t="s">
        <v>570</v>
      </c>
      <c r="B2118" s="71" t="s">
        <v>3612</v>
      </c>
      <c r="C2118" s="59">
        <v>4058075824218</v>
      </c>
      <c r="D2118" s="118"/>
      <c r="E2118" s="119"/>
      <c r="F2118" s="25"/>
      <c r="G2118" s="156" t="str">
        <f>HYPERLINK("https://ledvance.com/pt/product-datasheet/247502/243795","Ficha Técnica")</f>
        <v>Ficha Técnica</v>
      </c>
      <c r="H2118" s="15">
        <v>10</v>
      </c>
      <c r="I2118" s="163">
        <v>4000</v>
      </c>
      <c r="J2118" s="15">
        <v>26</v>
      </c>
      <c r="K2118" s="163" t="s">
        <v>46</v>
      </c>
      <c r="L2118" s="15">
        <v>5</v>
      </c>
      <c r="M2118" s="193">
        <v>34</v>
      </c>
      <c r="N2118" s="173" t="s">
        <v>571</v>
      </c>
    </row>
    <row r="2119" spans="1:14" x14ac:dyDescent="0.25">
      <c r="A2119" s="66" t="s">
        <v>570</v>
      </c>
      <c r="B2119" s="73" t="s">
        <v>3613</v>
      </c>
      <c r="C2119" s="52"/>
      <c r="D2119" s="65"/>
      <c r="E2119" s="92"/>
      <c r="F2119" s="12"/>
      <c r="G2119" s="157"/>
      <c r="H2119" s="12"/>
      <c r="I2119" s="62"/>
      <c r="J2119" s="27"/>
      <c r="K2119" s="62"/>
      <c r="L2119" s="12"/>
      <c r="M2119" s="191"/>
      <c r="N2119" s="130"/>
    </row>
    <row r="2120" spans="1:14" x14ac:dyDescent="0.25">
      <c r="A2120" s="63" t="s">
        <v>570</v>
      </c>
      <c r="B2120" s="71" t="s">
        <v>3614</v>
      </c>
      <c r="C2120" s="2">
        <v>4099854081149</v>
      </c>
      <c r="D2120" s="118"/>
      <c r="E2120" s="119"/>
      <c r="F2120" s="30"/>
      <c r="G2120" s="156" t="str">
        <f>HYPERLINK("https://ledvance.com/pt/product-datasheet/247502/243533","Ficha Técnica")</f>
        <v>Ficha Técnica</v>
      </c>
      <c r="H2120" s="15">
        <v>10</v>
      </c>
      <c r="I2120" s="163">
        <v>2160</v>
      </c>
      <c r="J2120" s="15">
        <v>16</v>
      </c>
      <c r="K2120" s="163" t="s">
        <v>46</v>
      </c>
      <c r="L2120" s="15">
        <v>5</v>
      </c>
      <c r="M2120" s="193">
        <v>31.9</v>
      </c>
      <c r="N2120" s="173" t="s">
        <v>571</v>
      </c>
    </row>
    <row r="2121" spans="1:14" x14ac:dyDescent="0.25">
      <c r="A2121" s="63" t="s">
        <v>570</v>
      </c>
      <c r="B2121" s="71" t="s">
        <v>3615</v>
      </c>
      <c r="C2121" s="2">
        <v>4099854081163</v>
      </c>
      <c r="D2121" s="118"/>
      <c r="E2121" s="119"/>
      <c r="F2121" s="30"/>
      <c r="G2121" s="156" t="str">
        <f>HYPERLINK("https://ledvance.com/pt/product-datasheet/247502/243536","Ficha Técnica")</f>
        <v>Ficha Técnica</v>
      </c>
      <c r="H2121" s="15">
        <v>10</v>
      </c>
      <c r="I2121" s="163">
        <v>2400</v>
      </c>
      <c r="J2121" s="15">
        <v>16</v>
      </c>
      <c r="K2121" s="163" t="s">
        <v>46</v>
      </c>
      <c r="L2121" s="15">
        <v>5</v>
      </c>
      <c r="M2121" s="193">
        <v>31.9</v>
      </c>
      <c r="N2121" s="173" t="s">
        <v>571</v>
      </c>
    </row>
    <row r="2122" spans="1:14" x14ac:dyDescent="0.25">
      <c r="A2122" s="63" t="s">
        <v>570</v>
      </c>
      <c r="B2122" s="71" t="s">
        <v>3616</v>
      </c>
      <c r="C2122" s="2">
        <v>4099854081187</v>
      </c>
      <c r="D2122" s="118"/>
      <c r="E2122" s="119"/>
      <c r="F2122" s="30"/>
      <c r="G2122" s="156" t="str">
        <f>HYPERLINK("https://ledvance.com/pt/product-datasheet/247502/243539","Ficha Técnica")</f>
        <v>Ficha Técnica</v>
      </c>
      <c r="H2122" s="15">
        <v>10</v>
      </c>
      <c r="I2122" s="163">
        <v>2400</v>
      </c>
      <c r="J2122" s="15">
        <v>16</v>
      </c>
      <c r="K2122" s="163" t="s">
        <v>46</v>
      </c>
      <c r="L2122" s="15">
        <v>5</v>
      </c>
      <c r="M2122" s="193">
        <v>31.9</v>
      </c>
      <c r="N2122" s="173" t="s">
        <v>571</v>
      </c>
    </row>
    <row r="2123" spans="1:14" x14ac:dyDescent="0.25">
      <c r="A2123" s="66" t="s">
        <v>570</v>
      </c>
      <c r="B2123" s="73" t="s">
        <v>3617</v>
      </c>
      <c r="C2123" s="52"/>
      <c r="D2123" s="65"/>
      <c r="E2123" s="134"/>
      <c r="F2123" s="27"/>
      <c r="G2123" s="160"/>
      <c r="H2123" s="12"/>
      <c r="I2123" s="62"/>
      <c r="J2123" s="27"/>
      <c r="K2123" s="62"/>
      <c r="L2123" s="12"/>
      <c r="M2123" s="191"/>
      <c r="N2123" s="130"/>
    </row>
    <row r="2124" spans="1:14" x14ac:dyDescent="0.25">
      <c r="A2124" s="63" t="s">
        <v>570</v>
      </c>
      <c r="B2124" s="71" t="s">
        <v>3618</v>
      </c>
      <c r="C2124" s="2">
        <v>4099854081200</v>
      </c>
      <c r="D2124" s="118"/>
      <c r="E2124" s="119"/>
      <c r="F2124" s="30"/>
      <c r="G2124" s="156" t="str">
        <f>HYPERLINK("https://ledvance.com/pt/product-datasheet/247502/243542","Ficha Técnica")</f>
        <v>Ficha Técnica</v>
      </c>
      <c r="H2124" s="15">
        <v>10</v>
      </c>
      <c r="I2124" s="163">
        <v>1350</v>
      </c>
      <c r="J2124" s="15">
        <v>10</v>
      </c>
      <c r="K2124" s="163" t="s">
        <v>46</v>
      </c>
      <c r="L2124" s="15">
        <v>5</v>
      </c>
      <c r="M2124" s="193">
        <v>26.8</v>
      </c>
      <c r="N2124" s="173" t="s">
        <v>571</v>
      </c>
    </row>
    <row r="2125" spans="1:14" x14ac:dyDescent="0.25">
      <c r="A2125" s="63" t="s">
        <v>570</v>
      </c>
      <c r="B2125" s="71" t="s">
        <v>3619</v>
      </c>
      <c r="C2125" s="2">
        <v>4099854081224</v>
      </c>
      <c r="D2125" s="118"/>
      <c r="E2125" s="119"/>
      <c r="F2125" s="30"/>
      <c r="G2125" s="156" t="str">
        <f>HYPERLINK("https://ledvance.com/pt/product-datasheet/247502/243545","Ficha Técnica")</f>
        <v>Ficha Técnica</v>
      </c>
      <c r="H2125" s="15">
        <v>10</v>
      </c>
      <c r="I2125" s="163">
        <v>1500</v>
      </c>
      <c r="J2125" s="15">
        <v>10</v>
      </c>
      <c r="K2125" s="163" t="s">
        <v>46</v>
      </c>
      <c r="L2125" s="15">
        <v>5</v>
      </c>
      <c r="M2125" s="193">
        <v>26.8</v>
      </c>
      <c r="N2125" s="173" t="s">
        <v>571</v>
      </c>
    </row>
    <row r="2126" spans="1:14" x14ac:dyDescent="0.25">
      <c r="A2126" s="63" t="s">
        <v>570</v>
      </c>
      <c r="B2126" s="71" t="s">
        <v>3620</v>
      </c>
      <c r="C2126" s="2">
        <v>4099854081248</v>
      </c>
      <c r="D2126" s="118"/>
      <c r="E2126" s="119"/>
      <c r="F2126" s="30"/>
      <c r="G2126" s="156" t="str">
        <f>HYPERLINK("https://ledvance.com/pt/product-datasheet/247502/243548","Ficha Técnica")</f>
        <v>Ficha Técnica</v>
      </c>
      <c r="H2126" s="15">
        <v>10</v>
      </c>
      <c r="I2126" s="163">
        <v>1500</v>
      </c>
      <c r="J2126" s="15">
        <v>10</v>
      </c>
      <c r="K2126" s="163" t="s">
        <v>46</v>
      </c>
      <c r="L2126" s="15">
        <v>5</v>
      </c>
      <c r="M2126" s="193">
        <v>26.8</v>
      </c>
      <c r="N2126" s="173" t="s">
        <v>571</v>
      </c>
    </row>
    <row r="2127" spans="1:14" x14ac:dyDescent="0.25">
      <c r="A2127" s="66" t="s">
        <v>570</v>
      </c>
      <c r="B2127" s="73" t="s">
        <v>3621</v>
      </c>
      <c r="C2127" s="52"/>
      <c r="D2127" s="65"/>
      <c r="E2127" s="92"/>
      <c r="F2127" s="12"/>
      <c r="G2127" s="157"/>
      <c r="H2127" s="12"/>
      <c r="I2127" s="62"/>
      <c r="J2127" s="27"/>
      <c r="K2127" s="62"/>
      <c r="L2127" s="12"/>
      <c r="M2127" s="191"/>
      <c r="N2127" s="130"/>
    </row>
    <row r="2128" spans="1:14" x14ac:dyDescent="0.25">
      <c r="A2128" s="63" t="s">
        <v>570</v>
      </c>
      <c r="B2128" s="71" t="s">
        <v>3622</v>
      </c>
      <c r="C2128" s="59">
        <v>4058075824232</v>
      </c>
      <c r="D2128" s="118"/>
      <c r="E2128" s="119"/>
      <c r="F2128" s="25"/>
      <c r="G2128" s="156" t="str">
        <f>HYPERLINK("https://ledvance.com/pt/product-datasheet/247502/243798","Ficha Técnica")</f>
        <v>Ficha Técnica</v>
      </c>
      <c r="H2128" s="15">
        <v>10</v>
      </c>
      <c r="I2128" s="163">
        <v>2550</v>
      </c>
      <c r="J2128" s="15">
        <v>18</v>
      </c>
      <c r="K2128" s="163" t="s">
        <v>46</v>
      </c>
      <c r="L2128" s="15">
        <v>5</v>
      </c>
      <c r="M2128" s="193">
        <v>30.3</v>
      </c>
      <c r="N2128" s="173" t="s">
        <v>571</v>
      </c>
    </row>
    <row r="2129" spans="1:14" x14ac:dyDescent="0.25">
      <c r="A2129" s="63" t="s">
        <v>570</v>
      </c>
      <c r="B2129" s="71" t="s">
        <v>3623</v>
      </c>
      <c r="C2129" s="59">
        <v>4058075824256</v>
      </c>
      <c r="D2129" s="118"/>
      <c r="E2129" s="119"/>
      <c r="F2129" s="25"/>
      <c r="G2129" s="156" t="str">
        <f>HYPERLINK("https://ledvance.com/pt/product-datasheet/247502/243801","Ficha Técnica")</f>
        <v>Ficha Técnica</v>
      </c>
      <c r="H2129" s="15">
        <v>10</v>
      </c>
      <c r="I2129" s="163">
        <v>2800</v>
      </c>
      <c r="J2129" s="15">
        <v>18</v>
      </c>
      <c r="K2129" s="163" t="s">
        <v>46</v>
      </c>
      <c r="L2129" s="15">
        <v>5</v>
      </c>
      <c r="M2129" s="193">
        <v>30.3</v>
      </c>
      <c r="N2129" s="173" t="s">
        <v>571</v>
      </c>
    </row>
    <row r="2130" spans="1:14" x14ac:dyDescent="0.25">
      <c r="A2130" s="63" t="s">
        <v>570</v>
      </c>
      <c r="B2130" s="71" t="s">
        <v>3624</v>
      </c>
      <c r="C2130" s="59">
        <v>4058075824270</v>
      </c>
      <c r="D2130" s="118"/>
      <c r="E2130" s="119"/>
      <c r="F2130" s="25"/>
      <c r="G2130" s="156" t="str">
        <f>HYPERLINK("https://ledvance.com/pt/product-datasheet/247502/243804","Ficha Técnica")</f>
        <v>Ficha Técnica</v>
      </c>
      <c r="H2130" s="15">
        <v>10</v>
      </c>
      <c r="I2130" s="163">
        <v>2800</v>
      </c>
      <c r="J2130" s="15">
        <v>18</v>
      </c>
      <c r="K2130" s="163" t="s">
        <v>46</v>
      </c>
      <c r="L2130" s="15">
        <v>5</v>
      </c>
      <c r="M2130" s="193">
        <v>30.3</v>
      </c>
      <c r="N2130" s="173" t="s">
        <v>571</v>
      </c>
    </row>
    <row r="2131" spans="1:14" x14ac:dyDescent="0.25">
      <c r="A2131" s="66" t="s">
        <v>570</v>
      </c>
      <c r="B2131" s="73" t="s">
        <v>3625</v>
      </c>
      <c r="C2131" s="52"/>
      <c r="D2131" s="65"/>
      <c r="E2131" s="92"/>
      <c r="F2131" s="12"/>
      <c r="G2131" s="157"/>
      <c r="H2131" s="12"/>
      <c r="I2131" s="62"/>
      <c r="J2131" s="27"/>
      <c r="K2131" s="62"/>
      <c r="L2131" s="12"/>
      <c r="M2131" s="191"/>
      <c r="N2131" s="130"/>
    </row>
    <row r="2132" spans="1:14" x14ac:dyDescent="0.25">
      <c r="A2132" s="63" t="s">
        <v>570</v>
      </c>
      <c r="B2132" s="71" t="s">
        <v>3626</v>
      </c>
      <c r="C2132" s="59">
        <v>4058075824294</v>
      </c>
      <c r="D2132" s="118"/>
      <c r="E2132" s="119"/>
      <c r="F2132" s="25"/>
      <c r="G2132" s="156" t="str">
        <f>HYPERLINK("https://ledvance.com/pt/product-datasheet/247502/243807","Ficha Técnica")</f>
        <v>Ficha Técnica</v>
      </c>
      <c r="H2132" s="15">
        <v>10</v>
      </c>
      <c r="I2132" s="163">
        <v>2150</v>
      </c>
      <c r="J2132" s="15">
        <v>16</v>
      </c>
      <c r="K2132" s="163" t="s">
        <v>46</v>
      </c>
      <c r="L2132" s="15">
        <v>5</v>
      </c>
      <c r="M2132" s="193">
        <v>28</v>
      </c>
      <c r="N2132" s="173" t="s">
        <v>571</v>
      </c>
    </row>
    <row r="2133" spans="1:14" x14ac:dyDescent="0.25">
      <c r="A2133" s="63" t="s">
        <v>570</v>
      </c>
      <c r="B2133" s="71" t="s">
        <v>3627</v>
      </c>
      <c r="C2133" s="59">
        <v>4058075824317</v>
      </c>
      <c r="D2133" s="118"/>
      <c r="E2133" s="119"/>
      <c r="F2133" s="25"/>
      <c r="G2133" s="156" t="str">
        <f>HYPERLINK("https://ledvance.com/pt/product-datasheet/247502/243810","Ficha Técnica")</f>
        <v>Ficha Técnica</v>
      </c>
      <c r="H2133" s="15">
        <v>10</v>
      </c>
      <c r="I2133" s="163">
        <v>2400</v>
      </c>
      <c r="J2133" s="15">
        <v>16</v>
      </c>
      <c r="K2133" s="163" t="s">
        <v>46</v>
      </c>
      <c r="L2133" s="15">
        <v>5</v>
      </c>
      <c r="M2133" s="193">
        <v>28</v>
      </c>
      <c r="N2133" s="173" t="s">
        <v>571</v>
      </c>
    </row>
    <row r="2134" spans="1:14" x14ac:dyDescent="0.25">
      <c r="A2134" s="63" t="s">
        <v>570</v>
      </c>
      <c r="B2134" s="71" t="s">
        <v>3628</v>
      </c>
      <c r="C2134" s="59">
        <v>4058075824331</v>
      </c>
      <c r="D2134" s="118"/>
      <c r="E2134" s="119"/>
      <c r="F2134" s="25"/>
      <c r="G2134" s="156" t="str">
        <f>HYPERLINK("https://ledvance.com/pt/product-datasheet/247502/243813","Ficha Técnica")</f>
        <v>Ficha Técnica</v>
      </c>
      <c r="H2134" s="15">
        <v>10</v>
      </c>
      <c r="I2134" s="163">
        <v>2400</v>
      </c>
      <c r="J2134" s="15">
        <v>16</v>
      </c>
      <c r="K2134" s="163" t="s">
        <v>46</v>
      </c>
      <c r="L2134" s="15">
        <v>5</v>
      </c>
      <c r="M2134" s="193">
        <v>28</v>
      </c>
      <c r="N2134" s="173" t="s">
        <v>571</v>
      </c>
    </row>
    <row r="2135" spans="1:14" x14ac:dyDescent="0.25">
      <c r="A2135" s="66" t="s">
        <v>570</v>
      </c>
      <c r="B2135" s="73" t="s">
        <v>3629</v>
      </c>
      <c r="C2135" s="52"/>
      <c r="D2135" s="65"/>
      <c r="E2135" s="92"/>
      <c r="F2135" s="12"/>
      <c r="G2135" s="157"/>
      <c r="H2135" s="12"/>
      <c r="I2135" s="62"/>
      <c r="J2135" s="27"/>
      <c r="K2135" s="62"/>
      <c r="L2135" s="12"/>
      <c r="M2135" s="191"/>
      <c r="N2135" s="130"/>
    </row>
    <row r="2136" spans="1:14" x14ac:dyDescent="0.25">
      <c r="A2136" s="63" t="s">
        <v>570</v>
      </c>
      <c r="B2136" s="71" t="s">
        <v>3630</v>
      </c>
      <c r="C2136" s="59">
        <v>4058075824355</v>
      </c>
      <c r="D2136" s="118"/>
      <c r="E2136" s="132"/>
      <c r="F2136" s="30"/>
      <c r="G2136" s="156" t="str">
        <f>HYPERLINK("https://ledvance.com/pt/product-datasheet/247502/243816","Ficha Técnica")</f>
        <v>Ficha Técnica</v>
      </c>
      <c r="H2136" s="15">
        <v>10</v>
      </c>
      <c r="I2136" s="163">
        <v>1350</v>
      </c>
      <c r="J2136" s="15">
        <v>10</v>
      </c>
      <c r="K2136" s="163" t="s">
        <v>46</v>
      </c>
      <c r="L2136" s="15">
        <v>5</v>
      </c>
      <c r="M2136" s="193">
        <v>26.3</v>
      </c>
      <c r="N2136" s="173" t="s">
        <v>571</v>
      </c>
    </row>
    <row r="2137" spans="1:14" x14ac:dyDescent="0.25">
      <c r="A2137" s="63" t="s">
        <v>570</v>
      </c>
      <c r="B2137" s="71" t="s">
        <v>3631</v>
      </c>
      <c r="C2137" s="59">
        <v>4058075824379</v>
      </c>
      <c r="D2137" s="118"/>
      <c r="E2137" s="132"/>
      <c r="F2137" s="30"/>
      <c r="G2137" s="156" t="str">
        <f>HYPERLINK("https://ledvance.com/pt/product-datasheet/247502/243819","Ficha Técnica")</f>
        <v>Ficha Técnica</v>
      </c>
      <c r="H2137" s="15">
        <v>10</v>
      </c>
      <c r="I2137" s="163">
        <v>1500</v>
      </c>
      <c r="J2137" s="15">
        <v>10</v>
      </c>
      <c r="K2137" s="163" t="s">
        <v>46</v>
      </c>
      <c r="L2137" s="15">
        <v>5</v>
      </c>
      <c r="M2137" s="193">
        <v>26.3</v>
      </c>
      <c r="N2137" s="173" t="s">
        <v>571</v>
      </c>
    </row>
    <row r="2138" spans="1:14" x14ac:dyDescent="0.25">
      <c r="A2138" s="63" t="s">
        <v>570</v>
      </c>
      <c r="B2138" s="71" t="s">
        <v>3632</v>
      </c>
      <c r="C2138" s="59">
        <v>4058075824393</v>
      </c>
      <c r="D2138" s="118"/>
      <c r="E2138" s="132"/>
      <c r="F2138" s="30"/>
      <c r="G2138" s="156" t="str">
        <f>HYPERLINK("https://ledvance.com/pt/product-datasheet/247502/243822","Ficha Técnica")</f>
        <v>Ficha Técnica</v>
      </c>
      <c r="H2138" s="15">
        <v>10</v>
      </c>
      <c r="I2138" s="163">
        <v>1500</v>
      </c>
      <c r="J2138" s="15">
        <v>10</v>
      </c>
      <c r="K2138" s="163" t="s">
        <v>46</v>
      </c>
      <c r="L2138" s="15">
        <v>5</v>
      </c>
      <c r="M2138" s="193">
        <v>26.3</v>
      </c>
      <c r="N2138" s="173" t="s">
        <v>571</v>
      </c>
    </row>
    <row r="2139" spans="1:14" x14ac:dyDescent="0.25">
      <c r="A2139" s="66" t="s">
        <v>570</v>
      </c>
      <c r="B2139" s="73" t="s">
        <v>3633</v>
      </c>
      <c r="C2139" s="52"/>
      <c r="D2139" s="65"/>
      <c r="E2139" s="92"/>
      <c r="F2139" s="12"/>
      <c r="G2139" s="157"/>
      <c r="H2139" s="12"/>
      <c r="I2139" s="62"/>
      <c r="J2139" s="27"/>
      <c r="K2139" s="62"/>
      <c r="L2139" s="12"/>
      <c r="M2139" s="191"/>
      <c r="N2139" s="130"/>
    </row>
    <row r="2140" spans="1:14" x14ac:dyDescent="0.25">
      <c r="A2140" s="63" t="s">
        <v>570</v>
      </c>
      <c r="B2140" s="71" t="s">
        <v>3634</v>
      </c>
      <c r="C2140" s="59">
        <v>4058075824416</v>
      </c>
      <c r="D2140" s="118"/>
      <c r="E2140" s="132"/>
      <c r="F2140" s="25"/>
      <c r="G2140" s="156" t="str">
        <f>HYPERLINK("https://ledvance.com/pt/product-datasheet/247502/243825","Ficha Técnica")</f>
        <v>Ficha Técnica</v>
      </c>
      <c r="H2140" s="15">
        <v>10</v>
      </c>
      <c r="I2140" s="163">
        <v>900</v>
      </c>
      <c r="J2140" s="15">
        <v>7</v>
      </c>
      <c r="K2140" s="163" t="s">
        <v>46</v>
      </c>
      <c r="L2140" s="15">
        <v>5</v>
      </c>
      <c r="M2140" s="193">
        <v>25.2</v>
      </c>
      <c r="N2140" s="173" t="s">
        <v>571</v>
      </c>
    </row>
    <row r="2141" spans="1:14" x14ac:dyDescent="0.25">
      <c r="A2141" s="63" t="s">
        <v>570</v>
      </c>
      <c r="B2141" s="71" t="s">
        <v>3635</v>
      </c>
      <c r="C2141" s="59">
        <v>4058075824430</v>
      </c>
      <c r="D2141" s="118"/>
      <c r="E2141" s="132"/>
      <c r="F2141" s="25"/>
      <c r="G2141" s="156" t="str">
        <f>HYPERLINK("https://ledvance.com/pt/product-datasheet/247502/243828","Ficha Técnica")</f>
        <v>Ficha Técnica</v>
      </c>
      <c r="H2141" s="15">
        <v>10</v>
      </c>
      <c r="I2141" s="163">
        <v>1000</v>
      </c>
      <c r="J2141" s="15">
        <v>7</v>
      </c>
      <c r="K2141" s="163" t="s">
        <v>46</v>
      </c>
      <c r="L2141" s="15">
        <v>5</v>
      </c>
      <c r="M2141" s="193">
        <v>25.2</v>
      </c>
      <c r="N2141" s="173" t="s">
        <v>571</v>
      </c>
    </row>
    <row r="2142" spans="1:14" x14ac:dyDescent="0.25">
      <c r="A2142" s="63" t="s">
        <v>570</v>
      </c>
      <c r="B2142" s="71" t="s">
        <v>3636</v>
      </c>
      <c r="C2142" s="59">
        <v>4058075824454</v>
      </c>
      <c r="D2142" s="118"/>
      <c r="E2142" s="132"/>
      <c r="F2142" s="25"/>
      <c r="G2142" s="156" t="str">
        <f>HYPERLINK("https://ledvance.com/pt/product-datasheet/247502/243831","Ficha Técnica")</f>
        <v>Ficha Técnica</v>
      </c>
      <c r="H2142" s="15">
        <v>10</v>
      </c>
      <c r="I2142" s="163">
        <v>1000</v>
      </c>
      <c r="J2142" s="15">
        <v>7</v>
      </c>
      <c r="K2142" s="163" t="s">
        <v>46</v>
      </c>
      <c r="L2142" s="15">
        <v>5</v>
      </c>
      <c r="M2142" s="193">
        <v>25.2</v>
      </c>
      <c r="N2142" s="173" t="s">
        <v>571</v>
      </c>
    </row>
    <row r="2143" spans="1:14" x14ac:dyDescent="0.25">
      <c r="A2143" s="66" t="s">
        <v>570</v>
      </c>
      <c r="B2143" s="73" t="s">
        <v>585</v>
      </c>
      <c r="C2143" s="52"/>
      <c r="D2143" s="65"/>
      <c r="E2143" s="92"/>
      <c r="F2143" s="12"/>
      <c r="G2143" s="157"/>
      <c r="H2143" s="12"/>
      <c r="I2143" s="62"/>
      <c r="J2143" s="27"/>
      <c r="K2143" s="62"/>
      <c r="L2143" s="12"/>
      <c r="M2143" s="191"/>
      <c r="N2143" s="130"/>
    </row>
    <row r="2144" spans="1:14" x14ac:dyDescent="0.25">
      <c r="A2144" s="63" t="s">
        <v>570</v>
      </c>
      <c r="B2144" s="71" t="s">
        <v>3637</v>
      </c>
      <c r="C2144" s="59">
        <v>4058075823617</v>
      </c>
      <c r="D2144" s="118"/>
      <c r="E2144" s="132"/>
      <c r="F2144" s="25"/>
      <c r="G2144" s="156" t="str">
        <f>HYPERLINK("https://ledvance.com/pt/product-datasheet/246741/241036","Ficha Técnica")</f>
        <v>Ficha Técnica</v>
      </c>
      <c r="H2144" s="15">
        <v>25</v>
      </c>
      <c r="I2144" s="163">
        <v>380</v>
      </c>
      <c r="J2144" s="15">
        <v>4</v>
      </c>
      <c r="K2144" s="163" t="s">
        <v>46</v>
      </c>
      <c r="L2144" s="15">
        <v>3</v>
      </c>
      <c r="M2144" s="193">
        <v>19.600000000000001</v>
      </c>
      <c r="N2144" s="173" t="s">
        <v>571</v>
      </c>
    </row>
    <row r="2145" spans="1:14" x14ac:dyDescent="0.25">
      <c r="A2145" s="63" t="s">
        <v>570</v>
      </c>
      <c r="B2145" s="71" t="s">
        <v>3638</v>
      </c>
      <c r="C2145" s="59">
        <v>4058075823631</v>
      </c>
      <c r="D2145" s="118"/>
      <c r="E2145" s="132"/>
      <c r="F2145" s="25"/>
      <c r="G2145" s="156" t="str">
        <f>HYPERLINK("https://ledvance.com/pt/product-datasheet/246741/241043","Ficha Técnica")</f>
        <v>Ficha Técnica</v>
      </c>
      <c r="H2145" s="15">
        <v>25</v>
      </c>
      <c r="I2145" s="163">
        <v>400</v>
      </c>
      <c r="J2145" s="15">
        <v>4</v>
      </c>
      <c r="K2145" s="163" t="s">
        <v>46</v>
      </c>
      <c r="L2145" s="15">
        <v>3</v>
      </c>
      <c r="M2145" s="193">
        <v>19.600000000000001</v>
      </c>
      <c r="N2145" s="173" t="s">
        <v>571</v>
      </c>
    </row>
    <row r="2146" spans="1:14" x14ac:dyDescent="0.25">
      <c r="A2146" s="63" t="s">
        <v>570</v>
      </c>
      <c r="B2146" s="71" t="s">
        <v>3639</v>
      </c>
      <c r="C2146" s="59">
        <v>4058075823655</v>
      </c>
      <c r="D2146" s="118"/>
      <c r="E2146" s="132"/>
      <c r="F2146" s="25"/>
      <c r="G2146" s="156" t="str">
        <f>HYPERLINK("https://ledvance.com/pt/product-datasheet/246741/241050","Ficha Técnica")</f>
        <v>Ficha Técnica</v>
      </c>
      <c r="H2146" s="15">
        <v>25</v>
      </c>
      <c r="I2146" s="163">
        <v>770</v>
      </c>
      <c r="J2146" s="15">
        <v>7</v>
      </c>
      <c r="K2146" s="163" t="s">
        <v>46</v>
      </c>
      <c r="L2146" s="15">
        <v>3</v>
      </c>
      <c r="M2146" s="193">
        <v>19.7</v>
      </c>
      <c r="N2146" s="173" t="s">
        <v>571</v>
      </c>
    </row>
    <row r="2147" spans="1:14" x14ac:dyDescent="0.25">
      <c r="A2147" s="63" t="s">
        <v>570</v>
      </c>
      <c r="B2147" s="71" t="s">
        <v>3640</v>
      </c>
      <c r="C2147" s="59">
        <v>4058075823679</v>
      </c>
      <c r="D2147" s="118"/>
      <c r="E2147" s="132"/>
      <c r="F2147" s="25"/>
      <c r="G2147" s="156" t="str">
        <f>HYPERLINK("https://ledvance.com/pt/product-datasheet/246741/241057","Ficha Técnica")</f>
        <v>Ficha Técnica</v>
      </c>
      <c r="H2147" s="15">
        <v>25</v>
      </c>
      <c r="I2147" s="163">
        <v>850</v>
      </c>
      <c r="J2147" s="15">
        <v>7</v>
      </c>
      <c r="K2147" s="163" t="s">
        <v>46</v>
      </c>
      <c r="L2147" s="15">
        <v>3</v>
      </c>
      <c r="M2147" s="193">
        <v>19.7</v>
      </c>
      <c r="N2147" s="173" t="s">
        <v>571</v>
      </c>
    </row>
    <row r="2148" spans="1:14" x14ac:dyDescent="0.25">
      <c r="A2148" s="66" t="s">
        <v>570</v>
      </c>
      <c r="B2148" s="73" t="s">
        <v>586</v>
      </c>
      <c r="C2148" s="52"/>
      <c r="D2148" s="65"/>
      <c r="E2148" s="92"/>
      <c r="F2148" s="12"/>
      <c r="G2148" s="157"/>
      <c r="H2148" s="12"/>
      <c r="I2148" s="62"/>
      <c r="J2148" s="27"/>
      <c r="K2148" s="62"/>
      <c r="L2148" s="12"/>
      <c r="M2148" s="191"/>
      <c r="N2148" s="130"/>
    </row>
    <row r="2149" spans="1:14" x14ac:dyDescent="0.25">
      <c r="A2149" s="63" t="s">
        <v>570</v>
      </c>
      <c r="B2149" s="71" t="s">
        <v>3641</v>
      </c>
      <c r="C2149" s="2">
        <v>4099854015328</v>
      </c>
      <c r="D2149" s="118"/>
      <c r="E2149" s="61"/>
      <c r="G2149" s="156" t="str">
        <f>HYPERLINK("https://ledvance.com/pt/product-datasheet/216561/225893","Ficha Técnica")</f>
        <v>Ficha Técnica</v>
      </c>
      <c r="H2149" s="15" t="s">
        <v>2105</v>
      </c>
      <c r="I2149" s="163">
        <v>3350</v>
      </c>
      <c r="J2149" s="15">
        <v>23</v>
      </c>
      <c r="K2149" s="163" t="s">
        <v>46</v>
      </c>
      <c r="L2149" s="15">
        <v>5</v>
      </c>
      <c r="M2149" s="193">
        <v>17.399999999999999</v>
      </c>
      <c r="N2149" s="173" t="s">
        <v>571</v>
      </c>
    </row>
    <row r="2150" spans="1:14" x14ac:dyDescent="0.25">
      <c r="A2150" s="63" t="s">
        <v>570</v>
      </c>
      <c r="B2150" s="71" t="s">
        <v>3642</v>
      </c>
      <c r="C2150" s="2">
        <v>4058075730557</v>
      </c>
      <c r="D2150" s="118"/>
      <c r="E2150" s="119"/>
      <c r="F2150" s="25"/>
      <c r="G2150" s="156" t="str">
        <f>HYPERLINK("https://ledvance.com/pt/product-datasheet/216561/206079","Ficha Técnica")</f>
        <v>Ficha Técnica</v>
      </c>
      <c r="H2150" s="15">
        <v>25</v>
      </c>
      <c r="I2150" s="163">
        <v>3700</v>
      </c>
      <c r="J2150" s="15">
        <v>23</v>
      </c>
      <c r="K2150" s="163" t="s">
        <v>46</v>
      </c>
      <c r="L2150" s="15">
        <v>5</v>
      </c>
      <c r="M2150" s="193">
        <v>18.100000000000001</v>
      </c>
      <c r="N2150" s="173" t="s">
        <v>571</v>
      </c>
    </row>
    <row r="2151" spans="1:14" x14ac:dyDescent="0.25">
      <c r="A2151" s="63" t="s">
        <v>570</v>
      </c>
      <c r="B2151" s="71" t="s">
        <v>3643</v>
      </c>
      <c r="C2151" s="2">
        <v>4058075730571</v>
      </c>
      <c r="D2151" s="118"/>
      <c r="E2151" s="119"/>
      <c r="F2151" s="25"/>
      <c r="G2151" s="156" t="str">
        <f>HYPERLINK("https://ledvance.com/pt/product-datasheet/216561/206082","Ficha Técnica")</f>
        <v>Ficha Técnica</v>
      </c>
      <c r="H2151" s="15">
        <v>25</v>
      </c>
      <c r="I2151" s="163">
        <v>3700</v>
      </c>
      <c r="J2151" s="15">
        <v>23</v>
      </c>
      <c r="K2151" s="163" t="s">
        <v>46</v>
      </c>
      <c r="L2151" s="15">
        <v>5</v>
      </c>
      <c r="M2151" s="193">
        <v>18.100000000000001</v>
      </c>
      <c r="N2151" s="173" t="s">
        <v>571</v>
      </c>
    </row>
    <row r="2152" spans="1:14" x14ac:dyDescent="0.25">
      <c r="A2152" s="63" t="s">
        <v>570</v>
      </c>
      <c r="B2152" s="71" t="s">
        <v>3644</v>
      </c>
      <c r="C2152" s="2">
        <v>4099854015281</v>
      </c>
      <c r="D2152" s="118"/>
      <c r="E2152" s="61"/>
      <c r="G2152" s="156" t="str">
        <f>HYPERLINK("https://ledvance.com/pt/product-datasheet/216561/225896","Ficha Técnica")</f>
        <v>Ficha Técnica</v>
      </c>
      <c r="H2152" s="15" t="s">
        <v>2105</v>
      </c>
      <c r="I2152" s="163">
        <v>2160</v>
      </c>
      <c r="J2152" s="15">
        <v>15</v>
      </c>
      <c r="K2152" s="163" t="s">
        <v>46</v>
      </c>
      <c r="L2152" s="15">
        <v>5</v>
      </c>
      <c r="M2152" s="193">
        <v>16</v>
      </c>
      <c r="N2152" s="173" t="s">
        <v>571</v>
      </c>
    </row>
    <row r="2153" spans="1:14" x14ac:dyDescent="0.25">
      <c r="A2153" s="63" t="s">
        <v>570</v>
      </c>
      <c r="B2153" s="71" t="s">
        <v>3645</v>
      </c>
      <c r="C2153" s="2">
        <v>4058075730595</v>
      </c>
      <c r="D2153" s="118"/>
      <c r="E2153" s="119"/>
      <c r="F2153" s="25"/>
      <c r="G2153" s="156" t="str">
        <f>HYPERLINK("https://ledvance.com/pt/product-datasheet/216561/206087","Ficha Técnica")</f>
        <v>Ficha Técnica</v>
      </c>
      <c r="H2153" s="15">
        <v>25</v>
      </c>
      <c r="I2153" s="163">
        <v>2400</v>
      </c>
      <c r="J2153" s="15">
        <v>15</v>
      </c>
      <c r="K2153" s="163" t="s">
        <v>46</v>
      </c>
      <c r="L2153" s="15">
        <v>5</v>
      </c>
      <c r="M2153" s="193">
        <v>16</v>
      </c>
      <c r="N2153" s="173" t="s">
        <v>571</v>
      </c>
    </row>
    <row r="2154" spans="1:14" x14ac:dyDescent="0.25">
      <c r="A2154" s="63" t="s">
        <v>570</v>
      </c>
      <c r="B2154" s="71" t="s">
        <v>3646</v>
      </c>
      <c r="C2154" s="2">
        <v>4058075730618</v>
      </c>
      <c r="D2154" s="118"/>
      <c r="E2154" s="119"/>
      <c r="F2154" s="25"/>
      <c r="G2154" s="156" t="str">
        <f>HYPERLINK("https://ledvance.com/pt/product-datasheet/216561/206090","Ficha Técnica")</f>
        <v>Ficha Técnica</v>
      </c>
      <c r="H2154" s="15">
        <v>25</v>
      </c>
      <c r="I2154" s="163">
        <v>2400</v>
      </c>
      <c r="J2154" s="15">
        <v>15</v>
      </c>
      <c r="K2154" s="163" t="s">
        <v>46</v>
      </c>
      <c r="L2154" s="15">
        <v>5</v>
      </c>
      <c r="M2154" s="193">
        <v>16</v>
      </c>
      <c r="N2154" s="173" t="s">
        <v>571</v>
      </c>
    </row>
    <row r="2155" spans="1:14" x14ac:dyDescent="0.25">
      <c r="A2155" s="63" t="s">
        <v>570</v>
      </c>
      <c r="B2155" s="71" t="s">
        <v>3647</v>
      </c>
      <c r="C2155" s="2">
        <v>4099854294426</v>
      </c>
      <c r="D2155" s="118"/>
      <c r="E2155" s="119"/>
      <c r="G2155" s="156" t="str">
        <f>HYPERLINK("https://ledvance.com/pt/product-datasheet/216561/301749","Ficha Técnica")</f>
        <v>Ficha Técnica</v>
      </c>
      <c r="H2155" s="15">
        <v>25</v>
      </c>
      <c r="I2155" s="163">
        <v>1000</v>
      </c>
      <c r="J2155" s="15" t="s">
        <v>1876</v>
      </c>
      <c r="K2155" s="163" t="s">
        <v>46</v>
      </c>
      <c r="L2155" s="15">
        <v>5</v>
      </c>
      <c r="M2155" s="193">
        <v>13.4</v>
      </c>
      <c r="N2155" s="173" t="s">
        <v>571</v>
      </c>
    </row>
    <row r="2156" spans="1:14" x14ac:dyDescent="0.25">
      <c r="A2156" s="63" t="s">
        <v>570</v>
      </c>
      <c r="B2156" s="71" t="s">
        <v>3648</v>
      </c>
      <c r="C2156" s="2">
        <v>4099854294440</v>
      </c>
      <c r="D2156" s="118"/>
      <c r="E2156" s="119"/>
      <c r="G2156" s="156" t="str">
        <f>HYPERLINK("https://ledvance.com/pt/product-datasheet/216561/301753","Ficha Técnica")</f>
        <v>Ficha Técnica</v>
      </c>
      <c r="H2156" s="15">
        <v>25</v>
      </c>
      <c r="I2156" s="163">
        <v>1100</v>
      </c>
      <c r="J2156" s="15" t="s">
        <v>1876</v>
      </c>
      <c r="K2156" s="163" t="s">
        <v>46</v>
      </c>
      <c r="L2156" s="15">
        <v>5</v>
      </c>
      <c r="M2156" s="193">
        <v>13.4</v>
      </c>
      <c r="N2156" s="173" t="s">
        <v>571</v>
      </c>
    </row>
    <row r="2157" spans="1:14" x14ac:dyDescent="0.25">
      <c r="A2157" s="63" t="s">
        <v>570</v>
      </c>
      <c r="B2157" s="71" t="s">
        <v>3649</v>
      </c>
      <c r="C2157" s="2">
        <v>4099854294464</v>
      </c>
      <c r="D2157" s="93"/>
      <c r="E2157" s="61"/>
      <c r="G2157" s="156" t="str">
        <f>HYPERLINK("https://ledvance.com/pt/product-datasheet/216561/301756","Ficha Técnica")</f>
        <v>Ficha Técnica</v>
      </c>
      <c r="H2157" s="15">
        <v>25</v>
      </c>
      <c r="I2157" s="163">
        <v>1100</v>
      </c>
      <c r="J2157" s="15" t="s">
        <v>1876</v>
      </c>
      <c r="K2157" s="163" t="s">
        <v>46</v>
      </c>
      <c r="L2157" s="15">
        <v>5</v>
      </c>
      <c r="M2157" s="193">
        <v>13.4</v>
      </c>
      <c r="N2157" s="173" t="s">
        <v>571</v>
      </c>
    </row>
    <row r="2158" spans="1:14" x14ac:dyDescent="0.25">
      <c r="A2158" s="66" t="s">
        <v>570</v>
      </c>
      <c r="B2158" s="73" t="s">
        <v>587</v>
      </c>
      <c r="C2158" s="52"/>
      <c r="D2158" s="65"/>
      <c r="E2158" s="92"/>
      <c r="F2158" s="12"/>
      <c r="G2158" s="157"/>
      <c r="H2158" s="12"/>
      <c r="I2158" s="62"/>
      <c r="J2158" s="27"/>
      <c r="K2158" s="62"/>
      <c r="L2158" s="12"/>
      <c r="M2158" s="191"/>
      <c r="N2158" s="130"/>
    </row>
    <row r="2159" spans="1:14" x14ac:dyDescent="0.25">
      <c r="A2159" s="63" t="s">
        <v>570</v>
      </c>
      <c r="B2159" s="71" t="s">
        <v>3650</v>
      </c>
      <c r="C2159" s="2">
        <v>4099854015267</v>
      </c>
      <c r="D2159" s="95"/>
      <c r="E2159" s="61"/>
      <c r="G2159" s="156" t="str">
        <f>HYPERLINK("https://ledvance.com/pt/product-datasheet/216559/225881","Ficha Técnica")</f>
        <v>Ficha Técnica</v>
      </c>
      <c r="H2159" s="15" t="s">
        <v>2105</v>
      </c>
      <c r="I2159" s="163">
        <v>5050</v>
      </c>
      <c r="J2159" s="15">
        <v>37</v>
      </c>
      <c r="K2159" s="163" t="s">
        <v>46</v>
      </c>
      <c r="L2159" s="15">
        <v>5</v>
      </c>
      <c r="M2159" s="193">
        <v>25</v>
      </c>
      <c r="N2159" s="173" t="s">
        <v>571</v>
      </c>
    </row>
    <row r="2160" spans="1:14" x14ac:dyDescent="0.25">
      <c r="A2160" s="63" t="s">
        <v>570</v>
      </c>
      <c r="B2160" s="71" t="s">
        <v>3651</v>
      </c>
      <c r="C2160" s="2">
        <v>4058075730410</v>
      </c>
      <c r="D2160" s="95">
        <v>4058075730410</v>
      </c>
      <c r="E2160" s="96" t="s">
        <v>3652</v>
      </c>
      <c r="F2160" s="25"/>
      <c r="G2160" s="156" t="str">
        <f>HYPERLINK("https://ledvance.com/pt/product-datasheet/216559/206041","Ficha Técnica")</f>
        <v>Ficha Técnica</v>
      </c>
      <c r="H2160" s="15">
        <v>25</v>
      </c>
      <c r="I2160" s="163">
        <v>5600</v>
      </c>
      <c r="J2160" s="15">
        <v>37</v>
      </c>
      <c r="K2160" s="163" t="s">
        <v>46</v>
      </c>
      <c r="L2160" s="15">
        <v>5</v>
      </c>
      <c r="M2160" s="193">
        <v>25</v>
      </c>
      <c r="N2160" s="173" t="s">
        <v>571</v>
      </c>
    </row>
    <row r="2161" spans="1:14" x14ac:dyDescent="0.25">
      <c r="A2161" s="63" t="s">
        <v>570</v>
      </c>
      <c r="B2161" s="71" t="s">
        <v>3653</v>
      </c>
      <c r="C2161" s="2">
        <v>4058075730397</v>
      </c>
      <c r="D2161" s="95">
        <v>4058075730397</v>
      </c>
      <c r="E2161" s="96" t="s">
        <v>3654</v>
      </c>
      <c r="F2161" s="25"/>
      <c r="G2161" s="156" t="str">
        <f>HYPERLINK("https://ledvance.com/pt/product-datasheet/216559/206044","Ficha Técnica")</f>
        <v>Ficha Técnica</v>
      </c>
      <c r="H2161" s="15">
        <v>25</v>
      </c>
      <c r="I2161" s="163">
        <v>5600</v>
      </c>
      <c r="J2161" s="15">
        <v>37</v>
      </c>
      <c r="K2161" s="163" t="s">
        <v>46</v>
      </c>
      <c r="L2161" s="15">
        <v>5</v>
      </c>
      <c r="M2161" s="193">
        <v>25</v>
      </c>
      <c r="N2161" s="173" t="s">
        <v>571</v>
      </c>
    </row>
    <row r="2162" spans="1:14" x14ac:dyDescent="0.25">
      <c r="A2162" s="63" t="s">
        <v>570</v>
      </c>
      <c r="B2162" s="71" t="s">
        <v>3655</v>
      </c>
      <c r="C2162" s="2">
        <v>4099854015175</v>
      </c>
      <c r="D2162" s="95"/>
      <c r="E2162" s="61"/>
      <c r="G2162" s="156" t="str">
        <f>HYPERLINK("https://ledvance.com/pt/product-datasheet/216559/225884","Ficha Técnica")</f>
        <v>Ficha Técnica</v>
      </c>
      <c r="H2162" s="15" t="s">
        <v>2105</v>
      </c>
      <c r="I2162" s="163">
        <v>3600</v>
      </c>
      <c r="J2162" s="15">
        <v>26</v>
      </c>
      <c r="K2162" s="163" t="s">
        <v>46</v>
      </c>
      <c r="L2162" s="15">
        <v>5</v>
      </c>
      <c r="M2162" s="193">
        <v>20.399999999999999</v>
      </c>
      <c r="N2162" s="173" t="s">
        <v>571</v>
      </c>
    </row>
    <row r="2163" spans="1:14" x14ac:dyDescent="0.25">
      <c r="A2163" s="63" t="s">
        <v>570</v>
      </c>
      <c r="B2163" s="71" t="s">
        <v>3656</v>
      </c>
      <c r="C2163" s="2">
        <v>4058075730434</v>
      </c>
      <c r="D2163" s="95">
        <v>4058075730434</v>
      </c>
      <c r="E2163" s="96" t="s">
        <v>3657</v>
      </c>
      <c r="F2163" s="25"/>
      <c r="G2163" s="156" t="str">
        <f>HYPERLINK("https://ledvance.com/pt/product-datasheet/216559/206047","Ficha Técnica")</f>
        <v>Ficha Técnica</v>
      </c>
      <c r="H2163" s="15">
        <v>25</v>
      </c>
      <c r="I2163" s="163">
        <v>4000</v>
      </c>
      <c r="J2163" s="15">
        <v>26</v>
      </c>
      <c r="K2163" s="163" t="s">
        <v>46</v>
      </c>
      <c r="L2163" s="15">
        <v>5</v>
      </c>
      <c r="M2163" s="193">
        <v>20.5</v>
      </c>
      <c r="N2163" s="173" t="s">
        <v>571</v>
      </c>
    </row>
    <row r="2164" spans="1:14" x14ac:dyDescent="0.25">
      <c r="A2164" s="63" t="s">
        <v>570</v>
      </c>
      <c r="B2164" s="71" t="s">
        <v>3658</v>
      </c>
      <c r="C2164" s="2">
        <v>4058075730458</v>
      </c>
      <c r="D2164" s="95">
        <v>4058075730458</v>
      </c>
      <c r="E2164" s="96" t="s">
        <v>3659</v>
      </c>
      <c r="F2164" s="25"/>
      <c r="G2164" s="156" t="str">
        <f>HYPERLINK("https://ledvance.com/pt/product-datasheet/216559/206054","Ficha Técnica")</f>
        <v>Ficha Técnica</v>
      </c>
      <c r="H2164" s="15">
        <v>25</v>
      </c>
      <c r="I2164" s="163">
        <v>4000</v>
      </c>
      <c r="J2164" s="15">
        <v>26</v>
      </c>
      <c r="K2164" s="163" t="s">
        <v>46</v>
      </c>
      <c r="L2164" s="15">
        <v>5</v>
      </c>
      <c r="M2164" s="193">
        <v>20.5</v>
      </c>
      <c r="N2164" s="173" t="s">
        <v>571</v>
      </c>
    </row>
    <row r="2165" spans="1:14" x14ac:dyDescent="0.25">
      <c r="A2165" s="63" t="s">
        <v>570</v>
      </c>
      <c r="B2165" s="71" t="s">
        <v>3660</v>
      </c>
      <c r="C2165" s="2">
        <v>4099854294365</v>
      </c>
      <c r="D2165" s="93"/>
      <c r="E2165" s="61"/>
      <c r="G2165" s="156" t="str">
        <f>HYPERLINK("https://ledvance.com/pt/product-datasheet/216559/301732","Ficha Técnica")</f>
        <v>Ficha Técnica</v>
      </c>
      <c r="H2165" s="15">
        <v>25</v>
      </c>
      <c r="I2165" s="163">
        <v>2350</v>
      </c>
      <c r="J2165" s="15">
        <v>17</v>
      </c>
      <c r="K2165" s="163" t="s">
        <v>46</v>
      </c>
      <c r="L2165" s="15">
        <v>5</v>
      </c>
      <c r="M2165" s="193">
        <v>19.2</v>
      </c>
      <c r="N2165" s="173" t="s">
        <v>571</v>
      </c>
    </row>
    <row r="2166" spans="1:14" x14ac:dyDescent="0.25">
      <c r="A2166" s="63" t="s">
        <v>570</v>
      </c>
      <c r="B2166" s="71" t="s">
        <v>3661</v>
      </c>
      <c r="C2166" s="2">
        <v>4099854294389</v>
      </c>
      <c r="D2166" s="93"/>
      <c r="E2166" s="61"/>
      <c r="G2166" s="156" t="str">
        <f>HYPERLINK("https://ledvance.com/pt/product-datasheet/216559/301738","Ficha Técnica")</f>
        <v>Ficha Técnica</v>
      </c>
      <c r="H2166" s="15">
        <v>25</v>
      </c>
      <c r="I2166" s="163">
        <v>2600</v>
      </c>
      <c r="J2166" s="15">
        <v>17</v>
      </c>
      <c r="K2166" s="163" t="s">
        <v>46</v>
      </c>
      <c r="L2166" s="15">
        <v>5</v>
      </c>
      <c r="M2166" s="193">
        <v>19.2</v>
      </c>
      <c r="N2166" s="173" t="s">
        <v>571</v>
      </c>
    </row>
    <row r="2167" spans="1:14" x14ac:dyDescent="0.25">
      <c r="A2167" s="63" t="s">
        <v>570</v>
      </c>
      <c r="B2167" s="71" t="s">
        <v>3662</v>
      </c>
      <c r="C2167" s="2">
        <v>4099854294402</v>
      </c>
      <c r="D2167" s="93"/>
      <c r="E2167" s="61"/>
      <c r="G2167" s="156" t="str">
        <f>HYPERLINK("https://ledvance.com/pt/product-datasheet/216559/301743","Ficha Técnica")</f>
        <v>Ficha Técnica</v>
      </c>
      <c r="H2167" s="15">
        <v>25</v>
      </c>
      <c r="I2167" s="163">
        <v>2600</v>
      </c>
      <c r="J2167" s="15">
        <v>17</v>
      </c>
      <c r="K2167" s="163" t="s">
        <v>46</v>
      </c>
      <c r="L2167" s="15">
        <v>5</v>
      </c>
      <c r="M2167" s="193">
        <v>19.2</v>
      </c>
      <c r="N2167" s="173" t="s">
        <v>571</v>
      </c>
    </row>
    <row r="2168" spans="1:14" x14ac:dyDescent="0.25">
      <c r="A2168" s="63" t="s">
        <v>570</v>
      </c>
      <c r="B2168" s="71" t="s">
        <v>3663</v>
      </c>
      <c r="C2168" s="2">
        <v>4099854015199</v>
      </c>
      <c r="D2168" s="93"/>
      <c r="E2168" s="61"/>
      <c r="G2168" s="156" t="str">
        <f>HYPERLINK("https://ledvance.com/pt/product-datasheet/216559/225887","Ficha Técnica")</f>
        <v>Ficha Técnica</v>
      </c>
      <c r="H2168" s="15" t="s">
        <v>2105</v>
      </c>
      <c r="I2168" s="163">
        <v>3600</v>
      </c>
      <c r="J2168" s="15">
        <v>26</v>
      </c>
      <c r="K2168" s="163" t="s">
        <v>46</v>
      </c>
      <c r="L2168" s="15">
        <v>5</v>
      </c>
      <c r="M2168" s="193">
        <v>20.8</v>
      </c>
      <c r="N2168" s="173" t="s">
        <v>571</v>
      </c>
    </row>
    <row r="2169" spans="1:14" x14ac:dyDescent="0.25">
      <c r="A2169" s="63" t="s">
        <v>570</v>
      </c>
      <c r="B2169" s="71" t="s">
        <v>3664</v>
      </c>
      <c r="C2169" s="2">
        <v>4058075730472</v>
      </c>
      <c r="D2169" s="95">
        <v>4058075730472</v>
      </c>
      <c r="E2169" s="96" t="s">
        <v>3665</v>
      </c>
      <c r="F2169" s="25"/>
      <c r="G2169" s="156" t="str">
        <f>HYPERLINK("https://ledvance.com/pt/product-datasheet/216559/206058","Ficha Técnica")</f>
        <v>Ficha Técnica</v>
      </c>
      <c r="H2169" s="15">
        <v>25</v>
      </c>
      <c r="I2169" s="163">
        <v>4000</v>
      </c>
      <c r="J2169" s="15">
        <v>26</v>
      </c>
      <c r="K2169" s="163" t="s">
        <v>46</v>
      </c>
      <c r="L2169" s="15">
        <v>5</v>
      </c>
      <c r="M2169" s="193">
        <v>20.9</v>
      </c>
      <c r="N2169" s="173" t="s">
        <v>571</v>
      </c>
    </row>
    <row r="2170" spans="1:14" x14ac:dyDescent="0.25">
      <c r="A2170" s="63" t="s">
        <v>570</v>
      </c>
      <c r="B2170" s="71" t="s">
        <v>3666</v>
      </c>
      <c r="C2170" s="2">
        <v>4058075730496</v>
      </c>
      <c r="D2170" s="95">
        <v>4058075730496</v>
      </c>
      <c r="E2170" s="96" t="s">
        <v>3667</v>
      </c>
      <c r="F2170" s="25"/>
      <c r="G2170" s="156" t="str">
        <f>HYPERLINK("https://ledvance.com/pt/product-datasheet/216559/206062","Ficha Técnica")</f>
        <v>Ficha Técnica</v>
      </c>
      <c r="H2170" s="15">
        <v>25</v>
      </c>
      <c r="I2170" s="163">
        <v>4000</v>
      </c>
      <c r="J2170" s="15">
        <v>26</v>
      </c>
      <c r="K2170" s="163" t="s">
        <v>46</v>
      </c>
      <c r="L2170" s="15">
        <v>5</v>
      </c>
      <c r="M2170" s="193">
        <v>20.9</v>
      </c>
      <c r="N2170" s="173" t="s">
        <v>571</v>
      </c>
    </row>
    <row r="2171" spans="1:14" x14ac:dyDescent="0.25">
      <c r="A2171" s="63" t="s">
        <v>570</v>
      </c>
      <c r="B2171" s="71" t="s">
        <v>3668</v>
      </c>
      <c r="C2171" s="2">
        <v>4099854294228</v>
      </c>
      <c r="D2171" s="93"/>
      <c r="E2171" s="61"/>
      <c r="G2171" s="156" t="str">
        <f>HYPERLINK("https://ledvance.com/pt/product-datasheet/216559/301727","Ficha Técnica")</f>
        <v>Ficha Técnica</v>
      </c>
      <c r="H2171" s="15">
        <v>25</v>
      </c>
      <c r="I2171" s="163">
        <v>1450</v>
      </c>
      <c r="J2171" s="15" t="s">
        <v>1877</v>
      </c>
      <c r="K2171" s="163" t="s">
        <v>46</v>
      </c>
      <c r="L2171" s="15">
        <v>5</v>
      </c>
      <c r="M2171" s="193">
        <v>16.8</v>
      </c>
      <c r="N2171" s="173" t="s">
        <v>571</v>
      </c>
    </row>
    <row r="2172" spans="1:14" x14ac:dyDescent="0.25">
      <c r="A2172" s="63" t="s">
        <v>570</v>
      </c>
      <c r="B2172" s="71" t="s">
        <v>3669</v>
      </c>
      <c r="C2172" s="2">
        <v>4099854294242</v>
      </c>
      <c r="D2172" s="93"/>
      <c r="E2172" s="61"/>
      <c r="G2172" s="156" t="str">
        <f>HYPERLINK("https://ledvance.com/pt/product-datasheet/216559/301734","Ficha Técnica")</f>
        <v>Ficha Técnica</v>
      </c>
      <c r="H2172" s="15">
        <v>25</v>
      </c>
      <c r="I2172" s="163">
        <v>1600</v>
      </c>
      <c r="J2172" s="15" t="s">
        <v>1877</v>
      </c>
      <c r="K2172" s="163" t="s">
        <v>46</v>
      </c>
      <c r="L2172" s="15">
        <v>5</v>
      </c>
      <c r="M2172" s="193">
        <v>16.8</v>
      </c>
      <c r="N2172" s="173" t="s">
        <v>571</v>
      </c>
    </row>
    <row r="2173" spans="1:14" x14ac:dyDescent="0.25">
      <c r="A2173" s="63" t="s">
        <v>570</v>
      </c>
      <c r="B2173" s="71" t="s">
        <v>3670</v>
      </c>
      <c r="C2173" s="2">
        <v>4099854294266</v>
      </c>
      <c r="D2173" s="93"/>
      <c r="E2173" s="61"/>
      <c r="G2173" s="156" t="str">
        <f>HYPERLINK("https://ledvance.com/pt/product-datasheet/216559/301740","Ficha Técnica")</f>
        <v>Ficha Técnica</v>
      </c>
      <c r="H2173" s="15">
        <v>25</v>
      </c>
      <c r="I2173" s="163">
        <v>1600</v>
      </c>
      <c r="J2173" s="15" t="s">
        <v>1877</v>
      </c>
      <c r="K2173" s="163" t="s">
        <v>46</v>
      </c>
      <c r="L2173" s="15">
        <v>5</v>
      </c>
      <c r="M2173" s="193">
        <v>16.8</v>
      </c>
      <c r="N2173" s="173" t="s">
        <v>571</v>
      </c>
    </row>
    <row r="2174" spans="1:14" x14ac:dyDescent="0.25">
      <c r="A2174" s="63" t="s">
        <v>570</v>
      </c>
      <c r="B2174" s="71" t="s">
        <v>3671</v>
      </c>
      <c r="C2174" s="2">
        <v>4099854015151</v>
      </c>
      <c r="D2174" s="93"/>
      <c r="E2174" s="61"/>
      <c r="G2174" s="156" t="str">
        <f>HYPERLINK("https://ledvance.com/pt/product-datasheet/216559/225890","Ficha Técnica")</f>
        <v>Ficha Técnica</v>
      </c>
      <c r="H2174" s="15" t="s">
        <v>2105</v>
      </c>
      <c r="I2174" s="163">
        <v>2550</v>
      </c>
      <c r="J2174" s="15">
        <v>18</v>
      </c>
      <c r="K2174" s="163" t="s">
        <v>46</v>
      </c>
      <c r="L2174" s="15">
        <v>5</v>
      </c>
      <c r="M2174" s="193">
        <v>19</v>
      </c>
      <c r="N2174" s="173" t="s">
        <v>571</v>
      </c>
    </row>
    <row r="2175" spans="1:14" x14ac:dyDescent="0.25">
      <c r="A2175" s="63" t="s">
        <v>570</v>
      </c>
      <c r="B2175" s="71" t="s">
        <v>3672</v>
      </c>
      <c r="C2175" s="2">
        <v>4058075730519</v>
      </c>
      <c r="D2175" s="95">
        <v>4058075730519</v>
      </c>
      <c r="E2175" s="96" t="s">
        <v>3673</v>
      </c>
      <c r="F2175" s="25"/>
      <c r="G2175" s="156" t="str">
        <f>HYPERLINK("https://ledvance.com/pt/product-datasheet/216559/206066","Ficha Técnica")</f>
        <v>Ficha Técnica</v>
      </c>
      <c r="H2175" s="15">
        <v>25</v>
      </c>
      <c r="I2175" s="163">
        <v>2800</v>
      </c>
      <c r="J2175" s="15">
        <v>18</v>
      </c>
      <c r="K2175" s="163" t="s">
        <v>46</v>
      </c>
      <c r="L2175" s="15">
        <v>5</v>
      </c>
      <c r="M2175" s="193">
        <v>19.100000000000001</v>
      </c>
      <c r="N2175" s="173" t="s">
        <v>571</v>
      </c>
    </row>
    <row r="2176" spans="1:14" x14ac:dyDescent="0.25">
      <c r="A2176" s="63" t="s">
        <v>570</v>
      </c>
      <c r="B2176" s="71" t="s">
        <v>3674</v>
      </c>
      <c r="C2176" s="2">
        <v>4058075730533</v>
      </c>
      <c r="D2176" s="95">
        <v>4058075730533</v>
      </c>
      <c r="E2176" s="96" t="s">
        <v>3675</v>
      </c>
      <c r="F2176" s="25"/>
      <c r="G2176" s="156" t="str">
        <f>HYPERLINK("https://ledvance.com/pt/product-datasheet/216559/206074","Ficha Técnica")</f>
        <v>Ficha Técnica</v>
      </c>
      <c r="H2176" s="15">
        <v>25</v>
      </c>
      <c r="I2176" s="163">
        <v>2800</v>
      </c>
      <c r="J2176" s="15">
        <v>18</v>
      </c>
      <c r="K2176" s="163" t="s">
        <v>46</v>
      </c>
      <c r="L2176" s="15">
        <v>5</v>
      </c>
      <c r="M2176" s="193">
        <v>19.100000000000001</v>
      </c>
      <c r="N2176" s="173" t="s">
        <v>571</v>
      </c>
    </row>
    <row r="2177" spans="1:14" x14ac:dyDescent="0.25">
      <c r="A2177" s="63" t="s">
        <v>570</v>
      </c>
      <c r="B2177" s="71" t="s">
        <v>3676</v>
      </c>
      <c r="C2177" s="2">
        <v>4099854294303</v>
      </c>
      <c r="D2177" s="95"/>
      <c r="E2177" s="61"/>
      <c r="G2177" s="156" t="str">
        <f>HYPERLINK("https://ledvance.com/pt/product-datasheet/216559/301746","Ficha Técnica")</f>
        <v>Ficha Técnica</v>
      </c>
      <c r="H2177" s="15" t="s">
        <v>2105</v>
      </c>
      <c r="I2177" s="163">
        <v>2160</v>
      </c>
      <c r="J2177" s="15">
        <v>16</v>
      </c>
      <c r="K2177" s="163" t="s">
        <v>46</v>
      </c>
      <c r="L2177" s="15">
        <v>5</v>
      </c>
      <c r="M2177" s="193">
        <v>17.2</v>
      </c>
      <c r="N2177" s="173" t="s">
        <v>571</v>
      </c>
    </row>
    <row r="2178" spans="1:14" x14ac:dyDescent="0.25">
      <c r="A2178" s="63" t="s">
        <v>570</v>
      </c>
      <c r="B2178" s="71" t="s">
        <v>3677</v>
      </c>
      <c r="C2178" s="2">
        <v>4099854294327</v>
      </c>
      <c r="D2178" s="95"/>
      <c r="E2178" s="61"/>
      <c r="G2178" s="156" t="str">
        <f>HYPERLINK("https://ledvance.com/pt/product-datasheet/216559/301720","Ficha Técnica")</f>
        <v>Ficha Técnica</v>
      </c>
      <c r="H2178" s="15" t="s">
        <v>2105</v>
      </c>
      <c r="I2178" s="163">
        <v>2400</v>
      </c>
      <c r="J2178" s="15">
        <v>16</v>
      </c>
      <c r="K2178" s="163" t="s">
        <v>46</v>
      </c>
      <c r="L2178" s="15">
        <v>5</v>
      </c>
      <c r="M2178" s="193">
        <v>17.2</v>
      </c>
      <c r="N2178" s="173" t="s">
        <v>571</v>
      </c>
    </row>
    <row r="2179" spans="1:14" x14ac:dyDescent="0.25">
      <c r="A2179" s="63" t="s">
        <v>570</v>
      </c>
      <c r="B2179" s="71" t="s">
        <v>3678</v>
      </c>
      <c r="C2179" s="2">
        <v>4099854294341</v>
      </c>
      <c r="D2179" s="95"/>
      <c r="E2179" s="61"/>
      <c r="G2179" s="156" t="str">
        <f>HYPERLINK("https://ledvance.com/pt/product-datasheet/216559/301726","Ficha Técnica")</f>
        <v>Ficha Técnica</v>
      </c>
      <c r="H2179" s="15" t="s">
        <v>2105</v>
      </c>
      <c r="I2179" s="163">
        <v>2400</v>
      </c>
      <c r="J2179" s="15">
        <v>16</v>
      </c>
      <c r="K2179" s="163" t="s">
        <v>46</v>
      </c>
      <c r="L2179" s="15">
        <v>5</v>
      </c>
      <c r="M2179" s="193">
        <v>17.2</v>
      </c>
      <c r="N2179" s="173" t="s">
        <v>571</v>
      </c>
    </row>
    <row r="2180" spans="1:14" x14ac:dyDescent="0.25">
      <c r="A2180" s="63" t="s">
        <v>570</v>
      </c>
      <c r="B2180" s="71" t="s">
        <v>3679</v>
      </c>
      <c r="C2180" s="2">
        <v>4099854294150</v>
      </c>
      <c r="D2180" s="93"/>
      <c r="E2180" s="61"/>
      <c r="G2180" s="156" t="str">
        <f>HYPERLINK("https://ledvance.com/pt/product-datasheet/216559/301714","Ficha Técnica")</f>
        <v>Ficha Técnica</v>
      </c>
      <c r="H2180" s="15">
        <v>25</v>
      </c>
      <c r="I2180" s="163">
        <v>1450</v>
      </c>
      <c r="J2180" s="15" t="s">
        <v>1877</v>
      </c>
      <c r="K2180" s="163" t="s">
        <v>46</v>
      </c>
      <c r="L2180" s="15">
        <v>5</v>
      </c>
      <c r="M2180" s="193">
        <v>16.8</v>
      </c>
      <c r="N2180" s="173" t="s">
        <v>571</v>
      </c>
    </row>
    <row r="2181" spans="1:14" x14ac:dyDescent="0.25">
      <c r="A2181" s="63" t="s">
        <v>570</v>
      </c>
      <c r="B2181" s="71" t="s">
        <v>3680</v>
      </c>
      <c r="C2181" s="2">
        <v>4099854294181</v>
      </c>
      <c r="D2181" s="93"/>
      <c r="E2181" s="61"/>
      <c r="G2181" s="156" t="str">
        <f>HYPERLINK("https://ledvance.com/pt/product-datasheet/216559/301717","Ficha Técnica")</f>
        <v>Ficha Técnica</v>
      </c>
      <c r="H2181" s="15">
        <v>25</v>
      </c>
      <c r="I2181" s="163">
        <v>1600</v>
      </c>
      <c r="J2181" s="15" t="s">
        <v>1877</v>
      </c>
      <c r="K2181" s="163" t="s">
        <v>46</v>
      </c>
      <c r="L2181" s="15">
        <v>5</v>
      </c>
      <c r="M2181" s="193">
        <v>16.8</v>
      </c>
      <c r="N2181" s="173" t="s">
        <v>571</v>
      </c>
    </row>
    <row r="2182" spans="1:14" x14ac:dyDescent="0.25">
      <c r="A2182" s="63" t="s">
        <v>570</v>
      </c>
      <c r="B2182" s="71" t="s">
        <v>3681</v>
      </c>
      <c r="C2182" s="2">
        <v>4099854294204</v>
      </c>
      <c r="D2182" s="93"/>
      <c r="E2182" s="61"/>
      <c r="G2182" s="156" t="str">
        <f>HYPERLINK("https://ledvance.com/pt/product-datasheet/216559/301721","Ficha Técnica")</f>
        <v>Ficha Técnica</v>
      </c>
      <c r="H2182" s="15">
        <v>25</v>
      </c>
      <c r="I2182" s="163">
        <v>1600</v>
      </c>
      <c r="J2182" s="15" t="s">
        <v>1877</v>
      </c>
      <c r="K2182" s="163" t="s">
        <v>46</v>
      </c>
      <c r="L2182" s="15">
        <v>5</v>
      </c>
      <c r="M2182" s="193">
        <v>16.8</v>
      </c>
      <c r="N2182" s="173" t="s">
        <v>571</v>
      </c>
    </row>
    <row r="2183" spans="1:14" x14ac:dyDescent="0.25">
      <c r="A2183" s="63" t="s">
        <v>570</v>
      </c>
      <c r="B2183" s="71" t="s">
        <v>3682</v>
      </c>
      <c r="C2183" s="2">
        <v>4099854294082</v>
      </c>
      <c r="D2183" s="93"/>
      <c r="E2183" s="61"/>
      <c r="G2183" s="156" t="str">
        <f>HYPERLINK("https://ledvance.com/pt/product-datasheet/216559/301705","Ficha Técnica")</f>
        <v>Ficha Técnica</v>
      </c>
      <c r="H2183" s="15">
        <v>25</v>
      </c>
      <c r="I2183" s="163">
        <v>1000</v>
      </c>
      <c r="J2183" s="15" t="s">
        <v>1876</v>
      </c>
      <c r="K2183" s="163" t="s">
        <v>46</v>
      </c>
      <c r="L2183" s="15">
        <v>5</v>
      </c>
      <c r="M2183" s="193">
        <v>15.8</v>
      </c>
      <c r="N2183" s="173" t="s">
        <v>571</v>
      </c>
    </row>
    <row r="2184" spans="1:14" x14ac:dyDescent="0.25">
      <c r="A2184" s="63" t="s">
        <v>570</v>
      </c>
      <c r="B2184" s="71" t="s">
        <v>3683</v>
      </c>
      <c r="C2184" s="2">
        <v>4099854294105</v>
      </c>
      <c r="D2184" s="93"/>
      <c r="E2184" s="61"/>
      <c r="G2184" s="156" t="str">
        <f>HYPERLINK("https://ledvance.com/pt/product-datasheet/216559/301708","Ficha Técnica")</f>
        <v>Ficha Técnica</v>
      </c>
      <c r="H2184" s="15">
        <v>25</v>
      </c>
      <c r="I2184" s="163">
        <v>1100</v>
      </c>
      <c r="J2184" s="15" t="s">
        <v>1876</v>
      </c>
      <c r="K2184" s="163" t="s">
        <v>46</v>
      </c>
      <c r="L2184" s="15">
        <v>5</v>
      </c>
      <c r="M2184" s="193">
        <v>15.8</v>
      </c>
      <c r="N2184" s="173" t="s">
        <v>571</v>
      </c>
    </row>
    <row r="2185" spans="1:14" x14ac:dyDescent="0.25">
      <c r="A2185" s="63" t="s">
        <v>570</v>
      </c>
      <c r="B2185" s="71" t="s">
        <v>3684</v>
      </c>
      <c r="C2185" s="2">
        <v>4099854294129</v>
      </c>
      <c r="D2185" s="93"/>
      <c r="E2185" s="61"/>
      <c r="G2185" s="156" t="str">
        <f>HYPERLINK("https://ledvance.com/pt/product-datasheet/216559/301711","Ficha Técnica")</f>
        <v>Ficha Técnica</v>
      </c>
      <c r="H2185" s="15">
        <v>25</v>
      </c>
      <c r="I2185" s="163">
        <v>1100</v>
      </c>
      <c r="J2185" s="15" t="s">
        <v>1876</v>
      </c>
      <c r="K2185" s="163" t="s">
        <v>46</v>
      </c>
      <c r="L2185" s="15">
        <v>5</v>
      </c>
      <c r="M2185" s="193">
        <v>15.8</v>
      </c>
      <c r="N2185" s="173" t="s">
        <v>571</v>
      </c>
    </row>
    <row r="2186" spans="1:14" x14ac:dyDescent="0.25">
      <c r="A2186" s="66" t="s">
        <v>103</v>
      </c>
      <c r="B2186" s="73" t="s">
        <v>588</v>
      </c>
      <c r="C2186" s="52"/>
      <c r="D2186" s="65"/>
      <c r="E2186" s="92"/>
      <c r="F2186" s="12"/>
      <c r="G2186" s="157"/>
      <c r="H2186" s="49"/>
      <c r="I2186" s="165"/>
      <c r="J2186" s="49"/>
      <c r="K2186" s="165"/>
      <c r="L2186" s="49"/>
      <c r="M2186" s="191"/>
      <c r="N2186" s="130"/>
    </row>
    <row r="2187" spans="1:14" x14ac:dyDescent="0.25">
      <c r="A2187" s="63" t="s">
        <v>103</v>
      </c>
      <c r="B2187" s="71" t="s">
        <v>3685</v>
      </c>
      <c r="C2187" s="2">
        <v>4099854295157</v>
      </c>
      <c r="D2187" s="93"/>
      <c r="E2187" s="61"/>
      <c r="G2187" s="156" t="str">
        <f>HYPERLINK("https://ledvance.com/pt/product-datasheet/216563/302474","Ficha Técnica")</f>
        <v>Ficha Técnica</v>
      </c>
      <c r="H2187" s="15">
        <v>25</v>
      </c>
      <c r="I2187" s="163"/>
      <c r="J2187" s="15">
        <v>46</v>
      </c>
      <c r="K2187" s="163" t="s">
        <v>46</v>
      </c>
      <c r="L2187" s="15">
        <v>5</v>
      </c>
      <c r="M2187" s="193">
        <v>52.3</v>
      </c>
      <c r="N2187" s="173" t="s">
        <v>571</v>
      </c>
    </row>
    <row r="2188" spans="1:14" x14ac:dyDescent="0.25">
      <c r="A2188" s="63" t="s">
        <v>103</v>
      </c>
      <c r="B2188" s="71" t="s">
        <v>3686</v>
      </c>
      <c r="C2188" s="2">
        <v>4099854295171</v>
      </c>
      <c r="D2188" s="93"/>
      <c r="E2188" s="61"/>
      <c r="G2188" s="156" t="str">
        <f>HYPERLINK("https://ledvance.com/pt/product-datasheet/216563/302477","Ficha Técnica")</f>
        <v>Ficha Técnica</v>
      </c>
      <c r="H2188" s="15">
        <v>25</v>
      </c>
      <c r="I2188" s="163"/>
      <c r="J2188" s="15">
        <v>65</v>
      </c>
      <c r="K2188" s="163" t="s">
        <v>46</v>
      </c>
      <c r="L2188" s="15">
        <v>5</v>
      </c>
      <c r="M2188" s="193">
        <v>61</v>
      </c>
      <c r="N2188" s="173" t="s">
        <v>571</v>
      </c>
    </row>
    <row r="2189" spans="1:14" x14ac:dyDescent="0.25">
      <c r="A2189" s="66" t="s">
        <v>570</v>
      </c>
      <c r="B2189" s="69" t="s">
        <v>1314</v>
      </c>
      <c r="C2189" s="51"/>
      <c r="D2189" s="65"/>
      <c r="E2189" s="86"/>
      <c r="F2189" s="12"/>
      <c r="G2189" s="157"/>
      <c r="H2189" s="12"/>
      <c r="I2189" s="62"/>
      <c r="J2189" s="27"/>
      <c r="K2189" s="62"/>
      <c r="L2189" s="12"/>
      <c r="M2189" s="191"/>
      <c r="N2189" s="130"/>
    </row>
    <row r="2190" spans="1:14" x14ac:dyDescent="0.25">
      <c r="A2190" s="63" t="s">
        <v>570</v>
      </c>
      <c r="B2190" s="71" t="s">
        <v>3687</v>
      </c>
      <c r="C2190" s="2">
        <v>4099854300806</v>
      </c>
      <c r="D2190" s="93"/>
      <c r="E2190" s="61"/>
      <c r="G2190" s="156" t="str">
        <f>HYPERLINK("https://ledvance.com/pt/product-datasheet/305447/305245","Ficha Técnica")</f>
        <v>Ficha Técnica</v>
      </c>
      <c r="H2190" s="15">
        <v>10</v>
      </c>
      <c r="I2190" s="163">
        <v>1550</v>
      </c>
      <c r="J2190" s="15" t="s">
        <v>1868</v>
      </c>
      <c r="K2190" s="163" t="s">
        <v>46</v>
      </c>
      <c r="L2190" s="15">
        <v>5</v>
      </c>
      <c r="M2190" s="193">
        <v>31.8</v>
      </c>
      <c r="N2190" s="173" t="s">
        <v>571</v>
      </c>
    </row>
    <row r="2191" spans="1:14" x14ac:dyDescent="0.25">
      <c r="A2191" s="63" t="s">
        <v>570</v>
      </c>
      <c r="B2191" s="71" t="s">
        <v>3688</v>
      </c>
      <c r="C2191" s="2">
        <v>4099854300820</v>
      </c>
      <c r="D2191" s="93"/>
      <c r="E2191" s="61"/>
      <c r="G2191" s="156" t="str">
        <f>HYPERLINK("https://ledvance.com/pt/product-datasheet/305447/305248","Ficha Técnica")</f>
        <v>Ficha Técnica</v>
      </c>
      <c r="H2191" s="15">
        <v>10</v>
      </c>
      <c r="I2191" s="163">
        <v>1700</v>
      </c>
      <c r="J2191" s="15" t="s">
        <v>1868</v>
      </c>
      <c r="K2191" s="163" t="s">
        <v>46</v>
      </c>
      <c r="L2191" s="15">
        <v>5</v>
      </c>
      <c r="M2191" s="193">
        <v>31.8</v>
      </c>
      <c r="N2191" s="173" t="s">
        <v>571</v>
      </c>
    </row>
    <row r="2192" spans="1:14" x14ac:dyDescent="0.25">
      <c r="A2192" s="63" t="s">
        <v>570</v>
      </c>
      <c r="B2192" s="71" t="s">
        <v>3689</v>
      </c>
      <c r="C2192" s="2">
        <v>4099854300844</v>
      </c>
      <c r="D2192" s="93"/>
      <c r="E2192" s="61"/>
      <c r="G2192" s="156" t="str">
        <f>HYPERLINK("https://ledvance.com/pt/product-datasheet/305447/305253","Ficha Técnica")</f>
        <v>Ficha Técnica</v>
      </c>
      <c r="H2192" s="15">
        <v>10</v>
      </c>
      <c r="I2192" s="163">
        <v>1700</v>
      </c>
      <c r="J2192" s="15" t="s">
        <v>1868</v>
      </c>
      <c r="K2192" s="163" t="s">
        <v>46</v>
      </c>
      <c r="L2192" s="15">
        <v>5</v>
      </c>
      <c r="M2192" s="193">
        <v>31.8</v>
      </c>
      <c r="N2192" s="173" t="s">
        <v>571</v>
      </c>
    </row>
    <row r="2193" spans="1:14" x14ac:dyDescent="0.25">
      <c r="A2193" s="63" t="s">
        <v>570</v>
      </c>
      <c r="B2193" s="71" t="s">
        <v>3690</v>
      </c>
      <c r="C2193" s="2">
        <v>4099854300868</v>
      </c>
      <c r="D2193" s="93"/>
      <c r="E2193" s="61"/>
      <c r="G2193" s="156" t="str">
        <f>HYPERLINK("https://ledvance.com/pt/product-datasheet/305447/305257","Ficha Técnica")</f>
        <v>Ficha Técnica</v>
      </c>
      <c r="H2193" s="15">
        <v>10</v>
      </c>
      <c r="I2193" s="163">
        <v>2900</v>
      </c>
      <c r="J2193" s="15" t="s">
        <v>1878</v>
      </c>
      <c r="K2193" s="163" t="s">
        <v>46</v>
      </c>
      <c r="L2193" s="15">
        <v>5</v>
      </c>
      <c r="M2193" s="193">
        <v>36.700000000000003</v>
      </c>
      <c r="N2193" s="173" t="s">
        <v>571</v>
      </c>
    </row>
    <row r="2194" spans="1:14" x14ac:dyDescent="0.25">
      <c r="A2194" s="63" t="s">
        <v>570</v>
      </c>
      <c r="B2194" s="71" t="s">
        <v>3691</v>
      </c>
      <c r="C2194" s="2">
        <v>4099854300882</v>
      </c>
      <c r="D2194" s="93"/>
      <c r="E2194" s="61"/>
      <c r="G2194" s="156" t="str">
        <f>HYPERLINK("https://ledvance.com/pt/product-datasheet/305447/305263","Ficha Técnica")</f>
        <v>Ficha Técnica</v>
      </c>
      <c r="H2194" s="15">
        <v>10</v>
      </c>
      <c r="I2194" s="163">
        <v>3200</v>
      </c>
      <c r="J2194" s="15" t="s">
        <v>1878</v>
      </c>
      <c r="K2194" s="163" t="s">
        <v>46</v>
      </c>
      <c r="L2194" s="15">
        <v>5</v>
      </c>
      <c r="M2194" s="193">
        <v>36.700000000000003</v>
      </c>
      <c r="N2194" s="173" t="s">
        <v>571</v>
      </c>
    </row>
    <row r="2195" spans="1:14" x14ac:dyDescent="0.25">
      <c r="A2195" s="63" t="s">
        <v>570</v>
      </c>
      <c r="B2195" s="71" t="s">
        <v>3692</v>
      </c>
      <c r="C2195" s="2">
        <v>4099854300905</v>
      </c>
      <c r="D2195" s="93"/>
      <c r="E2195" s="61"/>
      <c r="G2195" s="156" t="str">
        <f>HYPERLINK("https://ledvance.com/pt/product-datasheet/305447/305266","Ficha Técnica")</f>
        <v>Ficha Técnica</v>
      </c>
      <c r="H2195" s="15">
        <v>10</v>
      </c>
      <c r="I2195" s="163">
        <v>3200</v>
      </c>
      <c r="J2195" s="15" t="s">
        <v>1878</v>
      </c>
      <c r="K2195" s="163" t="s">
        <v>46</v>
      </c>
      <c r="L2195" s="15">
        <v>5</v>
      </c>
      <c r="M2195" s="193">
        <v>36.700000000000003</v>
      </c>
      <c r="N2195" s="173" t="s">
        <v>571</v>
      </c>
    </row>
    <row r="2196" spans="1:14" x14ac:dyDescent="0.25">
      <c r="A2196" s="66" t="s">
        <v>103</v>
      </c>
      <c r="B2196" s="73" t="s">
        <v>1570</v>
      </c>
      <c r="C2196" s="52"/>
      <c r="D2196" s="65"/>
      <c r="E2196" s="92"/>
      <c r="F2196" s="12"/>
      <c r="G2196" s="157"/>
      <c r="H2196" s="49"/>
      <c r="I2196" s="165"/>
      <c r="J2196" s="49"/>
      <c r="K2196" s="165"/>
      <c r="L2196" s="49"/>
      <c r="M2196" s="191"/>
      <c r="N2196" s="130"/>
    </row>
    <row r="2197" spans="1:14" x14ac:dyDescent="0.25">
      <c r="A2197" s="63" t="s">
        <v>103</v>
      </c>
      <c r="B2197" s="74" t="s">
        <v>553</v>
      </c>
      <c r="C2197" s="2">
        <v>4058075779631</v>
      </c>
      <c r="D2197" s="84"/>
      <c r="E2197" s="101"/>
      <c r="F2197" s="16"/>
      <c r="G2197" s="156" t="str">
        <f>HYPERLINK("https://ledvance.com/pt/product-datasheet/209529/209477","Ficha Técnica")</f>
        <v>Ficha Técnica</v>
      </c>
      <c r="H2197" s="15">
        <v>10</v>
      </c>
      <c r="I2197" s="163"/>
      <c r="J2197" s="15" t="s">
        <v>1851</v>
      </c>
      <c r="K2197" s="163" t="s">
        <v>46</v>
      </c>
      <c r="L2197" s="15">
        <v>5</v>
      </c>
      <c r="M2197" s="188">
        <v>30.4</v>
      </c>
      <c r="N2197" s="169" t="s">
        <v>11</v>
      </c>
    </row>
    <row r="2198" spans="1:14" x14ac:dyDescent="0.25">
      <c r="A2198" s="66" t="s">
        <v>570</v>
      </c>
      <c r="B2198" s="73" t="s">
        <v>589</v>
      </c>
      <c r="C2198" s="52"/>
      <c r="D2198" s="65"/>
      <c r="E2198" s="92"/>
      <c r="F2198" s="12"/>
      <c r="G2198" s="157"/>
      <c r="H2198" s="12"/>
      <c r="I2198" s="62"/>
      <c r="J2198" s="27"/>
      <c r="K2198" s="62"/>
      <c r="L2198" s="12"/>
      <c r="M2198" s="191"/>
      <c r="N2198" s="130"/>
    </row>
    <row r="2199" spans="1:14" x14ac:dyDescent="0.25">
      <c r="A2199" s="63" t="s">
        <v>570</v>
      </c>
      <c r="B2199" s="71" t="s">
        <v>3693</v>
      </c>
      <c r="C2199" s="2">
        <v>4099854042447</v>
      </c>
      <c r="D2199" s="118"/>
      <c r="E2199" s="132"/>
      <c r="G2199" s="156" t="str">
        <f>HYPERLINK("https://ledvance.com/pt/product-datasheet/247589/234417","Ficha Técnica")</f>
        <v>Ficha Técnica</v>
      </c>
      <c r="H2199" s="15">
        <v>10</v>
      </c>
      <c r="I2199" s="163">
        <v>1200</v>
      </c>
      <c r="J2199" s="15">
        <v>11</v>
      </c>
      <c r="K2199" s="163" t="s">
        <v>46</v>
      </c>
      <c r="L2199" s="15">
        <v>3</v>
      </c>
      <c r="M2199" s="193">
        <v>22.2</v>
      </c>
      <c r="N2199" s="173" t="s">
        <v>571</v>
      </c>
    </row>
    <row r="2200" spans="1:14" x14ac:dyDescent="0.25">
      <c r="A2200" s="63" t="s">
        <v>570</v>
      </c>
      <c r="B2200" s="71" t="s">
        <v>3694</v>
      </c>
      <c r="C2200" s="2">
        <v>4099854042461</v>
      </c>
      <c r="D2200" s="93"/>
      <c r="E2200" s="61"/>
      <c r="G2200" s="156" t="str">
        <f>HYPERLINK("https://ledvance.com/pt/product-datasheet/247589/234420","Ficha Técnica")</f>
        <v>Ficha Técnica</v>
      </c>
      <c r="H2200" s="15">
        <v>10</v>
      </c>
      <c r="I2200" s="163">
        <v>1320</v>
      </c>
      <c r="J2200" s="15">
        <v>11</v>
      </c>
      <c r="K2200" s="163" t="s">
        <v>46</v>
      </c>
      <c r="L2200" s="15">
        <v>3</v>
      </c>
      <c r="M2200" s="193">
        <v>22.2</v>
      </c>
      <c r="N2200" s="173" t="s">
        <v>571</v>
      </c>
    </row>
    <row r="2201" spans="1:14" x14ac:dyDescent="0.25">
      <c r="A2201" s="63" t="s">
        <v>570</v>
      </c>
      <c r="B2201" s="71" t="s">
        <v>3695</v>
      </c>
      <c r="C2201" s="2">
        <v>4099854042485</v>
      </c>
      <c r="D2201" s="93"/>
      <c r="E2201" s="61"/>
      <c r="G2201" s="156" t="str">
        <f>HYPERLINK("https://ledvance.com/pt/product-datasheet/247589/234423","Ficha Técnica")</f>
        <v>Ficha Técnica</v>
      </c>
      <c r="H2201" s="15">
        <v>10</v>
      </c>
      <c r="I2201" s="163">
        <v>1320</v>
      </c>
      <c r="J2201" s="15">
        <v>11</v>
      </c>
      <c r="K2201" s="163" t="s">
        <v>46</v>
      </c>
      <c r="L2201" s="15">
        <v>3</v>
      </c>
      <c r="M2201" s="193">
        <v>22.2</v>
      </c>
      <c r="N2201" s="173" t="s">
        <v>571</v>
      </c>
    </row>
    <row r="2202" spans="1:14" x14ac:dyDescent="0.25">
      <c r="A2202" s="63" t="s">
        <v>570</v>
      </c>
      <c r="B2202" s="71" t="s">
        <v>3696</v>
      </c>
      <c r="C2202" s="2">
        <v>4099854042508</v>
      </c>
      <c r="D2202" s="93"/>
      <c r="E2202" s="61"/>
      <c r="G2202" s="156" t="str">
        <f>HYPERLINK("https://ledvance.com/pt/product-datasheet/247589/234426","Ficha Técnica")</f>
        <v>Ficha Técnica</v>
      </c>
      <c r="H2202" s="15">
        <v>10</v>
      </c>
      <c r="I2202" s="163">
        <v>2000</v>
      </c>
      <c r="J2202" s="15" t="s">
        <v>1869</v>
      </c>
      <c r="K2202" s="163" t="s">
        <v>46</v>
      </c>
      <c r="L2202" s="15">
        <v>3</v>
      </c>
      <c r="M2202" s="193">
        <v>27.7</v>
      </c>
      <c r="N2202" s="173" t="s">
        <v>571</v>
      </c>
    </row>
    <row r="2203" spans="1:14" x14ac:dyDescent="0.25">
      <c r="A2203" s="63" t="s">
        <v>570</v>
      </c>
      <c r="B2203" s="71" t="s">
        <v>3697</v>
      </c>
      <c r="C2203" s="2">
        <v>4099854042522</v>
      </c>
      <c r="D2203" s="93"/>
      <c r="E2203" s="61"/>
      <c r="G2203" s="156" t="str">
        <f>HYPERLINK("https://ledvance.com/pt/product-datasheet/247589/234429","Ficha Técnica")</f>
        <v>Ficha Técnica</v>
      </c>
      <c r="H2203" s="15">
        <v>10</v>
      </c>
      <c r="I2203" s="163">
        <v>2200</v>
      </c>
      <c r="J2203" s="15" t="s">
        <v>1869</v>
      </c>
      <c r="K2203" s="163" t="s">
        <v>46</v>
      </c>
      <c r="L2203" s="15">
        <v>3</v>
      </c>
      <c r="M2203" s="193">
        <v>27.7</v>
      </c>
      <c r="N2203" s="173" t="s">
        <v>571</v>
      </c>
    </row>
    <row r="2204" spans="1:14" x14ac:dyDescent="0.25">
      <c r="A2204" s="63" t="s">
        <v>570</v>
      </c>
      <c r="B2204" s="71" t="s">
        <v>3698</v>
      </c>
      <c r="C2204" s="2">
        <v>4099854042546</v>
      </c>
      <c r="D2204" s="93"/>
      <c r="E2204" s="61"/>
      <c r="G2204" s="156" t="str">
        <f>HYPERLINK("https://ledvance.com/pt/product-datasheet/247589/234432","Ficha Técnica")</f>
        <v>Ficha Técnica</v>
      </c>
      <c r="H2204" s="15">
        <v>10</v>
      </c>
      <c r="I2204" s="163">
        <v>2200</v>
      </c>
      <c r="J2204" s="15" t="s">
        <v>1869</v>
      </c>
      <c r="K2204" s="163" t="s">
        <v>46</v>
      </c>
      <c r="L2204" s="15">
        <v>3</v>
      </c>
      <c r="M2204" s="193">
        <v>27.7</v>
      </c>
      <c r="N2204" s="173" t="s">
        <v>571</v>
      </c>
    </row>
    <row r="2205" spans="1:14" x14ac:dyDescent="0.25">
      <c r="A2205" s="63" t="s">
        <v>570</v>
      </c>
      <c r="B2205" s="71" t="s">
        <v>3699</v>
      </c>
      <c r="C2205" s="2">
        <v>4099854042560</v>
      </c>
      <c r="D2205" s="118"/>
      <c r="E2205" s="132"/>
      <c r="G2205" s="156" t="str">
        <f>HYPERLINK("https://ledvance.com/pt/product-datasheet/247589/234435","Ficha Técnica")</f>
        <v>Ficha Técnica</v>
      </c>
      <c r="H2205" s="15">
        <v>10</v>
      </c>
      <c r="I2205" s="163">
        <v>2900</v>
      </c>
      <c r="J2205" s="15">
        <v>24</v>
      </c>
      <c r="K2205" s="163" t="s">
        <v>46</v>
      </c>
      <c r="L2205" s="15">
        <v>3</v>
      </c>
      <c r="M2205" s="193">
        <v>47.8</v>
      </c>
      <c r="N2205" s="173" t="s">
        <v>571</v>
      </c>
    </row>
    <row r="2206" spans="1:14" x14ac:dyDescent="0.25">
      <c r="A2206" s="63" t="s">
        <v>570</v>
      </c>
      <c r="B2206" s="71" t="s">
        <v>3700</v>
      </c>
      <c r="C2206" s="2">
        <v>4099854042584</v>
      </c>
      <c r="D2206" s="118"/>
      <c r="E2206" s="132"/>
      <c r="G2206" s="156" t="str">
        <f>HYPERLINK("https://ledvance.com/pt/product-datasheet/247589/234438","Ficha Técnica")</f>
        <v>Ficha Técnica</v>
      </c>
      <c r="H2206" s="15">
        <v>10</v>
      </c>
      <c r="I2206" s="163">
        <v>2900</v>
      </c>
      <c r="J2206" s="15">
        <v>24</v>
      </c>
      <c r="K2206" s="163" t="s">
        <v>46</v>
      </c>
      <c r="L2206" s="15">
        <v>3</v>
      </c>
      <c r="M2206" s="193">
        <v>47.8</v>
      </c>
      <c r="N2206" s="173" t="s">
        <v>571</v>
      </c>
    </row>
    <row r="2207" spans="1:14" x14ac:dyDescent="0.25">
      <c r="A2207" s="66" t="s">
        <v>570</v>
      </c>
      <c r="B2207" s="73" t="s">
        <v>590</v>
      </c>
      <c r="C2207" s="52"/>
      <c r="D2207" s="65"/>
      <c r="E2207" s="133"/>
      <c r="F2207" s="29"/>
      <c r="G2207" s="157"/>
      <c r="H2207" s="12"/>
      <c r="I2207" s="62"/>
      <c r="J2207" s="27"/>
      <c r="K2207" s="62"/>
      <c r="L2207" s="12"/>
      <c r="M2207" s="191"/>
      <c r="N2207" s="130"/>
    </row>
    <row r="2208" spans="1:14" x14ac:dyDescent="0.25">
      <c r="A2208" s="63" t="s">
        <v>570</v>
      </c>
      <c r="B2208" s="71" t="s">
        <v>3701</v>
      </c>
      <c r="C2208" s="2">
        <v>4058075823051</v>
      </c>
      <c r="D2208" s="103"/>
      <c r="E2208" s="127"/>
      <c r="F2208" s="25"/>
      <c r="G2208" s="156" t="str">
        <f>HYPERLINK("https://ledvance.com/pt/product-datasheet/246663/243127","Ficha Técnica")</f>
        <v>Ficha Técnica</v>
      </c>
      <c r="H2208" s="15">
        <v>10</v>
      </c>
      <c r="I2208" s="163">
        <v>540</v>
      </c>
      <c r="J2208" s="15">
        <v>5</v>
      </c>
      <c r="K2208" s="163" t="s">
        <v>46</v>
      </c>
      <c r="L2208" s="15">
        <v>3</v>
      </c>
      <c r="M2208" s="193">
        <v>10.4</v>
      </c>
      <c r="N2208" s="173" t="s">
        <v>571</v>
      </c>
    </row>
    <row r="2209" spans="1:14" x14ac:dyDescent="0.25">
      <c r="A2209" s="63" t="s">
        <v>570</v>
      </c>
      <c r="B2209" s="71" t="s">
        <v>3702</v>
      </c>
      <c r="C2209" s="2">
        <v>4058075823075</v>
      </c>
      <c r="D2209" s="103"/>
      <c r="E2209" s="127"/>
      <c r="F2209" s="25"/>
      <c r="G2209" s="156" t="str">
        <f>HYPERLINK("https://ledvance.com/pt/product-datasheet/246663/243133","Ficha Técnica")</f>
        <v>Ficha Técnica</v>
      </c>
      <c r="H2209" s="15">
        <v>10</v>
      </c>
      <c r="I2209" s="163">
        <v>600</v>
      </c>
      <c r="J2209" s="15">
        <v>5</v>
      </c>
      <c r="K2209" s="163" t="s">
        <v>46</v>
      </c>
      <c r="L2209" s="15">
        <v>3</v>
      </c>
      <c r="M2209" s="193">
        <v>10.4</v>
      </c>
      <c r="N2209" s="173" t="s">
        <v>571</v>
      </c>
    </row>
    <row r="2210" spans="1:14" x14ac:dyDescent="0.25">
      <c r="A2210" s="63" t="s">
        <v>570</v>
      </c>
      <c r="B2210" s="71" t="s">
        <v>3703</v>
      </c>
      <c r="C2210" s="2">
        <v>4058075823099</v>
      </c>
      <c r="D2210" s="103"/>
      <c r="E2210" s="127"/>
      <c r="F2210" s="25"/>
      <c r="G2210" s="156" t="str">
        <f>HYPERLINK("https://ledvance.com/pt/product-datasheet/246663/243139","Ficha Técnica")</f>
        <v>Ficha Técnica</v>
      </c>
      <c r="H2210" s="15">
        <v>10</v>
      </c>
      <c r="I2210" s="163">
        <v>600</v>
      </c>
      <c r="J2210" s="15">
        <v>6</v>
      </c>
      <c r="K2210" s="163" t="s">
        <v>46</v>
      </c>
      <c r="L2210" s="15">
        <v>3</v>
      </c>
      <c r="M2210" s="193">
        <v>11.1</v>
      </c>
      <c r="N2210" s="173" t="s">
        <v>571</v>
      </c>
    </row>
    <row r="2211" spans="1:14" x14ac:dyDescent="0.25">
      <c r="A2211" s="63" t="s">
        <v>570</v>
      </c>
      <c r="B2211" s="71" t="s">
        <v>3704</v>
      </c>
      <c r="C2211" s="2">
        <v>4058075823112</v>
      </c>
      <c r="D2211" s="103"/>
      <c r="E2211" s="127"/>
      <c r="F2211" s="25"/>
      <c r="G2211" s="156" t="str">
        <f>HYPERLINK("https://ledvance.com/pt/product-datasheet/246663/243145","Ficha Técnica")</f>
        <v>Ficha Técnica</v>
      </c>
      <c r="H2211" s="15">
        <v>10</v>
      </c>
      <c r="I2211" s="163">
        <v>660</v>
      </c>
      <c r="J2211" s="15">
        <v>6</v>
      </c>
      <c r="K2211" s="163" t="s">
        <v>46</v>
      </c>
      <c r="L2211" s="15">
        <v>3</v>
      </c>
      <c r="M2211" s="193">
        <v>11.1</v>
      </c>
      <c r="N2211" s="173" t="s">
        <v>571</v>
      </c>
    </row>
    <row r="2212" spans="1:14" x14ac:dyDescent="0.25">
      <c r="A2212" s="63" t="s">
        <v>570</v>
      </c>
      <c r="B2212" s="71" t="s">
        <v>3705</v>
      </c>
      <c r="C2212" s="2">
        <v>4058075823136</v>
      </c>
      <c r="D2212" s="103"/>
      <c r="E2212" s="127"/>
      <c r="F2212" s="25"/>
      <c r="G2212" s="156" t="str">
        <f>HYPERLINK("https://ledvance.com/pt/product-datasheet/246663/243151","Ficha Técnica")</f>
        <v>Ficha Técnica</v>
      </c>
      <c r="H2212" s="15">
        <v>10</v>
      </c>
      <c r="I2212" s="163">
        <v>700</v>
      </c>
      <c r="J2212" s="15">
        <v>7</v>
      </c>
      <c r="K2212" s="163" t="s">
        <v>46</v>
      </c>
      <c r="L2212" s="15">
        <v>3</v>
      </c>
      <c r="M2212" s="193">
        <v>11.6</v>
      </c>
      <c r="N2212" s="173" t="s">
        <v>571</v>
      </c>
    </row>
    <row r="2213" spans="1:14" x14ac:dyDescent="0.25">
      <c r="A2213" s="63" t="s">
        <v>570</v>
      </c>
      <c r="B2213" s="71" t="s">
        <v>3706</v>
      </c>
      <c r="C2213" s="2">
        <v>4058075823150</v>
      </c>
      <c r="D2213" s="103"/>
      <c r="E2213" s="127"/>
      <c r="F2213" s="25"/>
      <c r="G2213" s="156" t="str">
        <f>HYPERLINK("https://ledvance.com/pt/product-datasheet/246663/243157","Ficha Técnica")</f>
        <v>Ficha Técnica</v>
      </c>
      <c r="H2213" s="15">
        <v>10</v>
      </c>
      <c r="I2213" s="163">
        <v>770</v>
      </c>
      <c r="J2213" s="15">
        <v>7</v>
      </c>
      <c r="K2213" s="163" t="s">
        <v>46</v>
      </c>
      <c r="L2213" s="15">
        <v>3</v>
      </c>
      <c r="M2213" s="193">
        <v>11.6</v>
      </c>
      <c r="N2213" s="173" t="s">
        <v>571</v>
      </c>
    </row>
    <row r="2214" spans="1:14" x14ac:dyDescent="0.25">
      <c r="A2214" s="63" t="s">
        <v>570</v>
      </c>
      <c r="B2214" s="71" t="s">
        <v>3707</v>
      </c>
      <c r="C2214" s="2">
        <v>4058075823174</v>
      </c>
      <c r="D2214" s="103"/>
      <c r="E2214" s="127"/>
      <c r="F2214" s="25"/>
      <c r="G2214" s="156" t="str">
        <f>HYPERLINK("https://ledvance.com/pt/product-datasheet/246663/243163","Ficha Técnica")</f>
        <v>Ficha Técnica</v>
      </c>
      <c r="H2214" s="15">
        <v>10</v>
      </c>
      <c r="I2214" s="163">
        <v>990</v>
      </c>
      <c r="J2214" s="15">
        <v>9</v>
      </c>
      <c r="K2214" s="163" t="s">
        <v>46</v>
      </c>
      <c r="L2214" s="15">
        <v>3</v>
      </c>
      <c r="M2214" s="193">
        <v>12.9</v>
      </c>
      <c r="N2214" s="173" t="s">
        <v>571</v>
      </c>
    </row>
    <row r="2215" spans="1:14" x14ac:dyDescent="0.25">
      <c r="A2215" s="63" t="s">
        <v>570</v>
      </c>
      <c r="B2215" s="71" t="s">
        <v>3708</v>
      </c>
      <c r="C2215" s="2">
        <v>4058075823198</v>
      </c>
      <c r="D2215" s="103"/>
      <c r="E2215" s="127"/>
      <c r="F2215" s="25"/>
      <c r="G2215" s="156" t="str">
        <f>HYPERLINK("https://ledvance.com/pt/product-datasheet/246663/243169","Ficha Técnica")</f>
        <v>Ficha Técnica</v>
      </c>
      <c r="H2215" s="15">
        <v>10</v>
      </c>
      <c r="I2215" s="163">
        <v>1100</v>
      </c>
      <c r="J2215" s="15">
        <v>9</v>
      </c>
      <c r="K2215" s="163" t="s">
        <v>46</v>
      </c>
      <c r="L2215" s="15">
        <v>3</v>
      </c>
      <c r="M2215" s="193">
        <v>12.9</v>
      </c>
      <c r="N2215" s="173" t="s">
        <v>571</v>
      </c>
    </row>
    <row r="2216" spans="1:14" x14ac:dyDescent="0.25">
      <c r="A2216" s="66" t="s">
        <v>570</v>
      </c>
      <c r="B2216" s="73" t="s">
        <v>2135</v>
      </c>
      <c r="C2216" s="52"/>
      <c r="D2216" s="65"/>
      <c r="E2216" s="92"/>
      <c r="F2216" s="12"/>
      <c r="G2216" s="157"/>
      <c r="H2216" s="12"/>
      <c r="I2216" s="62"/>
      <c r="J2216" s="27"/>
      <c r="K2216" s="62"/>
      <c r="L2216" s="12"/>
      <c r="M2216" s="191"/>
      <c r="N2216" s="130"/>
    </row>
    <row r="2217" spans="1:14" x14ac:dyDescent="0.25">
      <c r="A2217" s="63" t="s">
        <v>570</v>
      </c>
      <c r="B2217" s="71" t="s">
        <v>3709</v>
      </c>
      <c r="C2217" s="2">
        <v>4058075821811</v>
      </c>
      <c r="D2217" s="103"/>
      <c r="E2217" s="127"/>
      <c r="F2217" s="25"/>
      <c r="G2217" s="156" t="str">
        <f>HYPERLINK("https://ledvance.com/pt/product-datasheet/246666/243194","Ficha Técnica")</f>
        <v>Ficha Técnica</v>
      </c>
      <c r="H2217" s="15">
        <v>24</v>
      </c>
      <c r="I2217" s="163">
        <v>640</v>
      </c>
      <c r="J2217" s="15" t="s">
        <v>1879</v>
      </c>
      <c r="K2217" s="163" t="s">
        <v>46</v>
      </c>
      <c r="L2217" s="15">
        <v>3</v>
      </c>
      <c r="M2217" s="193">
        <v>15.6</v>
      </c>
      <c r="N2217" s="173" t="s">
        <v>571</v>
      </c>
    </row>
    <row r="2218" spans="1:14" x14ac:dyDescent="0.25">
      <c r="A2218" s="63" t="s">
        <v>570</v>
      </c>
      <c r="B2218" s="71" t="s">
        <v>3710</v>
      </c>
      <c r="C2218" s="2">
        <v>4058075821835</v>
      </c>
      <c r="D2218" s="103"/>
      <c r="E2218" s="127"/>
      <c r="F2218" s="25"/>
      <c r="G2218" s="156" t="str">
        <f>HYPERLINK("https://ledvance.com/pt/product-datasheet/246666/243195","Ficha Técnica")</f>
        <v>Ficha Técnica</v>
      </c>
      <c r="H2218" s="15">
        <v>24</v>
      </c>
      <c r="I2218" s="163">
        <v>700</v>
      </c>
      <c r="J2218" s="15" t="s">
        <v>1879</v>
      </c>
      <c r="K2218" s="163" t="s">
        <v>46</v>
      </c>
      <c r="L2218" s="15">
        <v>3</v>
      </c>
      <c r="M2218" s="193">
        <v>15.6</v>
      </c>
      <c r="N2218" s="173" t="s">
        <v>571</v>
      </c>
    </row>
    <row r="2219" spans="1:14" x14ac:dyDescent="0.25">
      <c r="A2219" s="63" t="s">
        <v>570</v>
      </c>
      <c r="B2219" s="71" t="s">
        <v>3711</v>
      </c>
      <c r="C2219" s="2">
        <v>4058075821859</v>
      </c>
      <c r="D2219" s="103"/>
      <c r="E2219" s="127"/>
      <c r="F2219" s="25"/>
      <c r="G2219" s="156" t="str">
        <f>HYPERLINK("https://ledvance.com/pt/product-datasheet/246666/243207","Ficha Técnica")</f>
        <v>Ficha Técnica</v>
      </c>
      <c r="H2219" s="15">
        <v>24</v>
      </c>
      <c r="I2219" s="163">
        <v>870</v>
      </c>
      <c r="J2219" s="15" t="s">
        <v>1854</v>
      </c>
      <c r="K2219" s="163" t="s">
        <v>46</v>
      </c>
      <c r="L2219" s="15">
        <v>3</v>
      </c>
      <c r="M2219" s="193">
        <v>16.8</v>
      </c>
      <c r="N2219" s="173" t="s">
        <v>571</v>
      </c>
    </row>
    <row r="2220" spans="1:14" x14ac:dyDescent="0.25">
      <c r="A2220" s="63" t="s">
        <v>570</v>
      </c>
      <c r="B2220" s="71" t="s">
        <v>3712</v>
      </c>
      <c r="C2220" s="2">
        <v>4058075821873</v>
      </c>
      <c r="D2220" s="103"/>
      <c r="E2220" s="127"/>
      <c r="F2220" s="25"/>
      <c r="G2220" s="156" t="str">
        <f>HYPERLINK("https://ledvance.com/pt/product-datasheet/246666/243213","Ficha Técnica")</f>
        <v>Ficha Técnica</v>
      </c>
      <c r="H2220" s="15">
        <v>24</v>
      </c>
      <c r="I2220" s="163">
        <v>950</v>
      </c>
      <c r="J2220" s="15" t="s">
        <v>1854</v>
      </c>
      <c r="K2220" s="163" t="s">
        <v>46</v>
      </c>
      <c r="L2220" s="15">
        <v>3</v>
      </c>
      <c r="M2220" s="193">
        <v>16.8</v>
      </c>
      <c r="N2220" s="173" t="s">
        <v>571</v>
      </c>
    </row>
    <row r="2221" spans="1:14" x14ac:dyDescent="0.25">
      <c r="A2221" s="63" t="s">
        <v>570</v>
      </c>
      <c r="B2221" s="71" t="s">
        <v>3713</v>
      </c>
      <c r="C2221" s="2">
        <v>4058075821897</v>
      </c>
      <c r="D2221" s="103"/>
      <c r="E2221" s="127"/>
      <c r="F2221" s="25"/>
      <c r="G2221" s="156" t="str">
        <f>HYPERLINK("https://ledvance.com/pt/product-datasheet/246666/243219","Ficha Técnica")</f>
        <v>Ficha Técnica</v>
      </c>
      <c r="H2221" s="15">
        <v>24</v>
      </c>
      <c r="I2221" s="163">
        <v>1080</v>
      </c>
      <c r="J2221" s="15" t="s">
        <v>1880</v>
      </c>
      <c r="K2221" s="163" t="s">
        <v>46</v>
      </c>
      <c r="L2221" s="15">
        <v>3</v>
      </c>
      <c r="M2221" s="193">
        <v>17.600000000000001</v>
      </c>
      <c r="N2221" s="173" t="s">
        <v>571</v>
      </c>
    </row>
    <row r="2222" spans="1:14" x14ac:dyDescent="0.25">
      <c r="A2222" s="63" t="s">
        <v>570</v>
      </c>
      <c r="B2222" s="71" t="s">
        <v>3714</v>
      </c>
      <c r="C2222" s="2">
        <v>4058075821910</v>
      </c>
      <c r="D2222" s="103"/>
      <c r="E2222" s="127"/>
      <c r="F2222" s="25"/>
      <c r="G2222" s="156" t="str">
        <f>HYPERLINK("https://ledvance.com/pt/product-datasheet/246666/243225","Ficha Técnica")</f>
        <v>Ficha Técnica</v>
      </c>
      <c r="H2222" s="15">
        <v>24</v>
      </c>
      <c r="I2222" s="163">
        <v>1200</v>
      </c>
      <c r="J2222" s="15" t="s">
        <v>1880</v>
      </c>
      <c r="K2222" s="163" t="s">
        <v>46</v>
      </c>
      <c r="L2222" s="15">
        <v>3</v>
      </c>
      <c r="M2222" s="193">
        <v>17.600000000000001</v>
      </c>
      <c r="N2222" s="173" t="s">
        <v>571</v>
      </c>
    </row>
    <row r="2223" spans="1:14" x14ac:dyDescent="0.25">
      <c r="A2223" s="66" t="s">
        <v>570</v>
      </c>
      <c r="B2223" s="73" t="s">
        <v>2136</v>
      </c>
      <c r="C2223" s="52"/>
      <c r="D2223" s="65"/>
      <c r="E2223" s="92"/>
      <c r="F2223" s="12"/>
      <c r="G2223" s="157"/>
      <c r="H2223" s="12"/>
      <c r="I2223" s="62"/>
      <c r="J2223" s="27"/>
      <c r="K2223" s="62"/>
      <c r="L2223" s="12"/>
      <c r="M2223" s="191"/>
      <c r="N2223" s="130"/>
    </row>
    <row r="2224" spans="1:14" x14ac:dyDescent="0.25">
      <c r="A2224" s="63" t="s">
        <v>570</v>
      </c>
      <c r="B2224" s="71" t="s">
        <v>3715</v>
      </c>
      <c r="C2224" s="2">
        <v>4058075821934</v>
      </c>
      <c r="D2224" s="103"/>
      <c r="E2224" s="127"/>
      <c r="F2224" s="25"/>
      <c r="G2224" s="156" t="str">
        <f>HYPERLINK("https://ledvance.com/pt/product-datasheet/246824/243231","Ficha Técnica")</f>
        <v>Ficha Técnica</v>
      </c>
      <c r="H2224" s="15">
        <v>10</v>
      </c>
      <c r="I2224" s="163">
        <v>600</v>
      </c>
      <c r="J2224" s="15">
        <v>6</v>
      </c>
      <c r="K2224" s="163" t="s">
        <v>46</v>
      </c>
      <c r="L2224" s="15">
        <v>3</v>
      </c>
      <c r="M2224" s="193">
        <v>16.8</v>
      </c>
      <c r="N2224" s="173" t="s">
        <v>571</v>
      </c>
    </row>
    <row r="2225" spans="1:14" x14ac:dyDescent="0.25">
      <c r="A2225" s="63" t="s">
        <v>570</v>
      </c>
      <c r="B2225" s="71" t="s">
        <v>3716</v>
      </c>
      <c r="C2225" s="2">
        <v>4058075821958</v>
      </c>
      <c r="D2225" s="103"/>
      <c r="E2225" s="127"/>
      <c r="F2225" s="25"/>
      <c r="G2225" s="156" t="str">
        <f>HYPERLINK("https://ledvance.com/pt/product-datasheet/246824/243237","Ficha Técnica")</f>
        <v>Ficha Técnica</v>
      </c>
      <c r="H2225" s="15">
        <v>10</v>
      </c>
      <c r="I2225" s="163">
        <v>660</v>
      </c>
      <c r="J2225" s="15">
        <v>6</v>
      </c>
      <c r="K2225" s="163" t="s">
        <v>46</v>
      </c>
      <c r="L2225" s="15">
        <v>3</v>
      </c>
      <c r="M2225" s="193">
        <v>16.8</v>
      </c>
      <c r="N2225" s="173" t="s">
        <v>571</v>
      </c>
    </row>
    <row r="2226" spans="1:14" x14ac:dyDescent="0.25">
      <c r="A2226" s="63" t="s">
        <v>570</v>
      </c>
      <c r="B2226" s="71" t="s">
        <v>3717</v>
      </c>
      <c r="C2226" s="2">
        <v>4058075821972</v>
      </c>
      <c r="D2226" s="103"/>
      <c r="E2226" s="127"/>
      <c r="F2226" s="25"/>
      <c r="G2226" s="156" t="str">
        <f>HYPERLINK("https://ledvance.com/pt/product-datasheet/246824/243243","Ficha Técnica")</f>
        <v>Ficha Técnica</v>
      </c>
      <c r="H2226" s="15">
        <v>10</v>
      </c>
      <c r="I2226" s="163">
        <v>700</v>
      </c>
      <c r="J2226" s="15">
        <v>7</v>
      </c>
      <c r="K2226" s="163" t="s">
        <v>46</v>
      </c>
      <c r="L2226" s="15">
        <v>3</v>
      </c>
      <c r="M2226" s="193">
        <v>18.100000000000001</v>
      </c>
      <c r="N2226" s="173" t="s">
        <v>571</v>
      </c>
    </row>
    <row r="2227" spans="1:14" x14ac:dyDescent="0.25">
      <c r="A2227" s="63" t="s">
        <v>570</v>
      </c>
      <c r="B2227" s="71" t="s">
        <v>3718</v>
      </c>
      <c r="C2227" s="2">
        <v>4058075821996</v>
      </c>
      <c r="D2227" s="103"/>
      <c r="E2227" s="127"/>
      <c r="F2227" s="25"/>
      <c r="G2227" s="156" t="str">
        <f>HYPERLINK("https://ledvance.com/pt/product-datasheet/246824/243249","Ficha Técnica")</f>
        <v>Ficha Técnica</v>
      </c>
      <c r="H2227" s="15">
        <v>10</v>
      </c>
      <c r="I2227" s="163">
        <v>770</v>
      </c>
      <c r="J2227" s="15">
        <v>7</v>
      </c>
      <c r="K2227" s="163" t="s">
        <v>46</v>
      </c>
      <c r="L2227" s="15">
        <v>3</v>
      </c>
      <c r="M2227" s="193">
        <v>18.100000000000001</v>
      </c>
      <c r="N2227" s="173" t="s">
        <v>571</v>
      </c>
    </row>
    <row r="2228" spans="1:14" x14ac:dyDescent="0.25">
      <c r="A2228" s="63" t="s">
        <v>570</v>
      </c>
      <c r="B2228" s="71" t="s">
        <v>3719</v>
      </c>
      <c r="C2228" s="2">
        <v>4058075822016</v>
      </c>
      <c r="D2228" s="103"/>
      <c r="E2228" s="127"/>
      <c r="F2228" s="25"/>
      <c r="G2228" s="156" t="str">
        <f>HYPERLINK("https://ledvance.com/pt/product-datasheet/246824/243255","Ficha Técnica")</f>
        <v>Ficha Técnica</v>
      </c>
      <c r="H2228" s="15">
        <v>10</v>
      </c>
      <c r="I2228" s="163">
        <v>990</v>
      </c>
      <c r="J2228" s="15">
        <v>10</v>
      </c>
      <c r="K2228" s="163" t="s">
        <v>46</v>
      </c>
      <c r="L2228" s="15">
        <v>3</v>
      </c>
      <c r="M2228" s="193">
        <v>20.3</v>
      </c>
      <c r="N2228" s="173" t="s">
        <v>571</v>
      </c>
    </row>
    <row r="2229" spans="1:14" x14ac:dyDescent="0.25">
      <c r="A2229" s="63" t="s">
        <v>570</v>
      </c>
      <c r="B2229" s="71" t="s">
        <v>3720</v>
      </c>
      <c r="C2229" s="2">
        <v>4058075822030</v>
      </c>
      <c r="D2229" s="103"/>
      <c r="E2229" s="127"/>
      <c r="F2229" s="25"/>
      <c r="G2229" s="156" t="str">
        <f>HYPERLINK("https://ledvance.com/pt/product-datasheet/246824/243261","Ficha Técnica")</f>
        <v>Ficha Técnica</v>
      </c>
      <c r="H2229" s="15">
        <v>10</v>
      </c>
      <c r="I2229" s="163">
        <v>1100</v>
      </c>
      <c r="J2229" s="15">
        <v>10</v>
      </c>
      <c r="K2229" s="163" t="s">
        <v>46</v>
      </c>
      <c r="L2229" s="15">
        <v>3</v>
      </c>
      <c r="M2229" s="193">
        <v>20.3</v>
      </c>
      <c r="N2229" s="173" t="s">
        <v>571</v>
      </c>
    </row>
    <row r="2230" spans="1:14" x14ac:dyDescent="0.25">
      <c r="A2230" s="66" t="s">
        <v>570</v>
      </c>
      <c r="B2230" s="73" t="s">
        <v>2129</v>
      </c>
      <c r="C2230" s="52"/>
      <c r="D2230" s="65"/>
      <c r="E2230" s="92"/>
      <c r="F2230" s="12"/>
      <c r="G2230" s="157"/>
      <c r="H2230" s="12"/>
      <c r="I2230" s="62"/>
      <c r="J2230" s="27"/>
      <c r="K2230" s="62"/>
      <c r="L2230" s="12"/>
      <c r="M2230" s="191"/>
      <c r="N2230" s="130"/>
    </row>
    <row r="2231" spans="1:14" x14ac:dyDescent="0.25">
      <c r="A2231" s="63" t="s">
        <v>570</v>
      </c>
      <c r="B2231" s="71" t="s">
        <v>3721</v>
      </c>
      <c r="C2231" s="2">
        <v>4058075822931</v>
      </c>
      <c r="D2231" s="103"/>
      <c r="E2231" s="127"/>
      <c r="F2231" s="25"/>
      <c r="G2231" s="156" t="str">
        <f>HYPERLINK("https://ledvance.com/pt/product-datasheet/246827/243091","Ficha Técnica")</f>
        <v>Ficha Técnica</v>
      </c>
      <c r="H2231" s="15">
        <v>10</v>
      </c>
      <c r="I2231" s="163">
        <v>360</v>
      </c>
      <c r="J2231" s="15" t="s">
        <v>1881</v>
      </c>
      <c r="K2231" s="163" t="s">
        <v>46</v>
      </c>
      <c r="L2231" s="15">
        <v>3</v>
      </c>
      <c r="M2231" s="193">
        <v>10.4</v>
      </c>
      <c r="N2231" s="173" t="s">
        <v>571</v>
      </c>
    </row>
    <row r="2232" spans="1:14" x14ac:dyDescent="0.25">
      <c r="A2232" s="63" t="s">
        <v>570</v>
      </c>
      <c r="B2232" s="71" t="s">
        <v>3722</v>
      </c>
      <c r="C2232" s="2">
        <v>4058075822955</v>
      </c>
      <c r="D2232" s="103"/>
      <c r="E2232" s="127"/>
      <c r="F2232" s="25"/>
      <c r="G2232" s="156" t="str">
        <f>HYPERLINK("https://ledvance.com/pt/product-datasheet/246827/243097","Ficha Técnica")</f>
        <v>Ficha Técnica</v>
      </c>
      <c r="H2232" s="15">
        <v>10</v>
      </c>
      <c r="I2232" s="163">
        <v>400</v>
      </c>
      <c r="J2232" s="15" t="s">
        <v>1881</v>
      </c>
      <c r="K2232" s="163" t="s">
        <v>46</v>
      </c>
      <c r="L2232" s="15">
        <v>3</v>
      </c>
      <c r="M2232" s="193">
        <v>10.4</v>
      </c>
      <c r="N2232" s="173" t="s">
        <v>571</v>
      </c>
    </row>
    <row r="2233" spans="1:14" x14ac:dyDescent="0.25">
      <c r="A2233" s="63" t="s">
        <v>570</v>
      </c>
      <c r="B2233" s="71" t="s">
        <v>3723</v>
      </c>
      <c r="C2233" s="2">
        <v>4058075822979</v>
      </c>
      <c r="D2233" s="103"/>
      <c r="E2233" s="127"/>
      <c r="F2233" s="25"/>
      <c r="G2233" s="156" t="str">
        <f>HYPERLINK("https://ledvance.com/pt/product-datasheet/246827/243103","Ficha Técnica")</f>
        <v>Ficha Técnica</v>
      </c>
      <c r="H2233" s="15">
        <v>10</v>
      </c>
      <c r="I2233" s="163">
        <v>500</v>
      </c>
      <c r="J2233" s="15">
        <v>4</v>
      </c>
      <c r="K2233" s="163" t="s">
        <v>46</v>
      </c>
      <c r="L2233" s="15">
        <v>3</v>
      </c>
      <c r="M2233" s="193">
        <v>11.1</v>
      </c>
      <c r="N2233" s="173" t="s">
        <v>571</v>
      </c>
    </row>
    <row r="2234" spans="1:14" x14ac:dyDescent="0.25">
      <c r="A2234" s="63" t="s">
        <v>570</v>
      </c>
      <c r="B2234" s="71" t="s">
        <v>3724</v>
      </c>
      <c r="C2234" s="2">
        <v>4058075822993</v>
      </c>
      <c r="D2234" s="103"/>
      <c r="E2234" s="127"/>
      <c r="F2234" s="25"/>
      <c r="G2234" s="156" t="str">
        <f>HYPERLINK("https://ledvance.com/pt/product-datasheet/246827/243109","Ficha Técnica")</f>
        <v>Ficha Técnica</v>
      </c>
      <c r="H2234" s="15">
        <v>10</v>
      </c>
      <c r="I2234" s="163">
        <v>550</v>
      </c>
      <c r="J2234" s="15">
        <v>4</v>
      </c>
      <c r="K2234" s="163" t="s">
        <v>46</v>
      </c>
      <c r="L2234" s="15">
        <v>3</v>
      </c>
      <c r="M2234" s="193">
        <v>11.1</v>
      </c>
      <c r="N2234" s="173" t="s">
        <v>571</v>
      </c>
    </row>
    <row r="2235" spans="1:14" x14ac:dyDescent="0.25">
      <c r="A2235" s="63" t="s">
        <v>570</v>
      </c>
      <c r="B2235" s="71" t="s">
        <v>3725</v>
      </c>
      <c r="C2235" s="2">
        <v>4058075823013</v>
      </c>
      <c r="D2235" s="103"/>
      <c r="E2235" s="127"/>
      <c r="F2235" s="25"/>
      <c r="G2235" s="156" t="str">
        <f>HYPERLINK("https://ledvance.com/pt/product-datasheet/246827/243115","Ficha Técnica")</f>
        <v>Ficha Técnica</v>
      </c>
      <c r="H2235" s="15">
        <v>10</v>
      </c>
      <c r="I2235" s="163">
        <v>630</v>
      </c>
      <c r="J2235" s="15">
        <v>6</v>
      </c>
      <c r="K2235" s="163" t="s">
        <v>46</v>
      </c>
      <c r="L2235" s="15">
        <v>3</v>
      </c>
      <c r="M2235" s="193">
        <v>11.6</v>
      </c>
      <c r="N2235" s="173" t="s">
        <v>571</v>
      </c>
    </row>
    <row r="2236" spans="1:14" x14ac:dyDescent="0.25">
      <c r="A2236" s="63" t="s">
        <v>570</v>
      </c>
      <c r="B2236" s="71" t="s">
        <v>3726</v>
      </c>
      <c r="C2236" s="2">
        <v>4058075823037</v>
      </c>
      <c r="D2236" s="103"/>
      <c r="E2236" s="127"/>
      <c r="F2236" s="25"/>
      <c r="G2236" s="156" t="str">
        <f>HYPERLINK("https://ledvance.com/pt/product-datasheet/246827/243121","Ficha Técnica")</f>
        <v>Ficha Técnica</v>
      </c>
      <c r="H2236" s="15">
        <v>10</v>
      </c>
      <c r="I2236" s="163">
        <v>700</v>
      </c>
      <c r="J2236" s="15">
        <v>6</v>
      </c>
      <c r="K2236" s="163" t="s">
        <v>46</v>
      </c>
      <c r="L2236" s="15">
        <v>3</v>
      </c>
      <c r="M2236" s="193">
        <v>11.6</v>
      </c>
      <c r="N2236" s="173" t="s">
        <v>571</v>
      </c>
    </row>
    <row r="2237" spans="1:14" x14ac:dyDescent="0.25">
      <c r="A2237" s="66" t="s">
        <v>570</v>
      </c>
      <c r="B2237" s="73" t="s">
        <v>2130</v>
      </c>
      <c r="C2237" s="52"/>
      <c r="D2237" s="65"/>
      <c r="E2237" s="92"/>
      <c r="F2237" s="12"/>
      <c r="G2237" s="157"/>
      <c r="H2237" s="12"/>
      <c r="I2237" s="62"/>
      <c r="J2237" s="27"/>
      <c r="K2237" s="62"/>
      <c r="L2237" s="12"/>
      <c r="M2237" s="191"/>
      <c r="N2237" s="130"/>
    </row>
    <row r="2238" spans="1:14" x14ac:dyDescent="0.25">
      <c r="A2238" s="63" t="s">
        <v>570</v>
      </c>
      <c r="B2238" s="71" t="s">
        <v>3727</v>
      </c>
      <c r="C2238" s="2">
        <v>4058075822054</v>
      </c>
      <c r="D2238" s="103"/>
      <c r="E2238" s="127"/>
      <c r="F2238" s="25"/>
      <c r="G2238" s="156" t="str">
        <f>HYPERLINK("https://ledvance.com/pt/product-datasheet/246839/243267","Ficha Técnica")</f>
        <v>Ficha Técnica</v>
      </c>
      <c r="H2238" s="15">
        <v>10</v>
      </c>
      <c r="I2238" s="163">
        <v>900</v>
      </c>
      <c r="J2238" s="15">
        <v>8</v>
      </c>
      <c r="K2238" s="163" t="s">
        <v>46</v>
      </c>
      <c r="L2238" s="15">
        <v>3</v>
      </c>
      <c r="M2238" s="193">
        <v>29.8</v>
      </c>
      <c r="N2238" s="173" t="s">
        <v>571</v>
      </c>
    </row>
    <row r="2239" spans="1:14" x14ac:dyDescent="0.25">
      <c r="A2239" s="63" t="s">
        <v>570</v>
      </c>
      <c r="B2239" s="71" t="s">
        <v>3728</v>
      </c>
      <c r="C2239" s="2">
        <v>4058075822078</v>
      </c>
      <c r="D2239" s="103"/>
      <c r="E2239" s="127"/>
      <c r="F2239" s="25"/>
      <c r="G2239" s="156" t="str">
        <f>HYPERLINK("https://ledvance.com/pt/product-datasheet/246839/243273","Ficha Técnica")</f>
        <v>Ficha Técnica</v>
      </c>
      <c r="H2239" s="15">
        <v>10</v>
      </c>
      <c r="I2239" s="163">
        <v>1000</v>
      </c>
      <c r="J2239" s="15">
        <v>8</v>
      </c>
      <c r="K2239" s="163" t="s">
        <v>46</v>
      </c>
      <c r="L2239" s="15">
        <v>3</v>
      </c>
      <c r="M2239" s="193">
        <v>29.8</v>
      </c>
      <c r="N2239" s="173" t="s">
        <v>571</v>
      </c>
    </row>
    <row r="2240" spans="1:14" x14ac:dyDescent="0.25">
      <c r="A2240" s="63" t="s">
        <v>570</v>
      </c>
      <c r="B2240" s="71" t="s">
        <v>3729</v>
      </c>
      <c r="C2240" s="2">
        <v>4058075822092</v>
      </c>
      <c r="D2240" s="103"/>
      <c r="E2240" s="127"/>
      <c r="F2240" s="25"/>
      <c r="G2240" s="156" t="str">
        <f>HYPERLINK("https://ledvance.com/pt/product-datasheet/246839/243279","Ficha Técnica")</f>
        <v>Ficha Técnica</v>
      </c>
      <c r="H2240" s="15">
        <v>10</v>
      </c>
      <c r="I2240" s="163">
        <v>1350</v>
      </c>
      <c r="J2240" s="15">
        <v>12</v>
      </c>
      <c r="K2240" s="163" t="s">
        <v>46</v>
      </c>
      <c r="L2240" s="15">
        <v>3</v>
      </c>
      <c r="M2240" s="193">
        <v>32</v>
      </c>
      <c r="N2240" s="173" t="s">
        <v>571</v>
      </c>
    </row>
    <row r="2241" spans="1:14" x14ac:dyDescent="0.25">
      <c r="A2241" s="63" t="s">
        <v>570</v>
      </c>
      <c r="B2241" s="71" t="s">
        <v>3730</v>
      </c>
      <c r="C2241" s="2">
        <v>4058075822115</v>
      </c>
      <c r="D2241" s="103"/>
      <c r="E2241" s="127"/>
      <c r="F2241" s="25"/>
      <c r="G2241" s="156" t="str">
        <f>HYPERLINK("https://ledvance.com/pt/product-datasheet/246839/243285","Ficha Técnica")</f>
        <v>Ficha Técnica</v>
      </c>
      <c r="H2241" s="15">
        <v>10</v>
      </c>
      <c r="I2241" s="163">
        <v>1500</v>
      </c>
      <c r="J2241" s="15">
        <v>12</v>
      </c>
      <c r="K2241" s="163" t="s">
        <v>46</v>
      </c>
      <c r="L2241" s="15">
        <v>3</v>
      </c>
      <c r="M2241" s="193">
        <v>32</v>
      </c>
      <c r="N2241" s="173" t="s">
        <v>571</v>
      </c>
    </row>
    <row r="2242" spans="1:14" x14ac:dyDescent="0.25">
      <c r="A2242" s="63" t="s">
        <v>570</v>
      </c>
      <c r="B2242" s="71" t="s">
        <v>3731</v>
      </c>
      <c r="C2242" s="2">
        <v>4058075822139</v>
      </c>
      <c r="D2242" s="103"/>
      <c r="E2242" s="127"/>
      <c r="F2242" s="25"/>
      <c r="G2242" s="156" t="str">
        <f>HYPERLINK("https://ledvance.com/pt/product-datasheet/246839/243291","Ficha Técnica")</f>
        <v>Ficha Técnica</v>
      </c>
      <c r="H2242" s="15">
        <v>10</v>
      </c>
      <c r="I2242" s="163">
        <v>2070</v>
      </c>
      <c r="J2242" s="15">
        <v>18</v>
      </c>
      <c r="K2242" s="163" t="s">
        <v>46</v>
      </c>
      <c r="L2242" s="15">
        <v>3</v>
      </c>
      <c r="M2242" s="193">
        <v>34.1</v>
      </c>
      <c r="N2242" s="173" t="s">
        <v>571</v>
      </c>
    </row>
    <row r="2243" spans="1:14" x14ac:dyDescent="0.25">
      <c r="A2243" s="63" t="s">
        <v>570</v>
      </c>
      <c r="B2243" s="71" t="s">
        <v>3732</v>
      </c>
      <c r="C2243" s="2">
        <v>4058075822153</v>
      </c>
      <c r="D2243" s="103"/>
      <c r="E2243" s="127"/>
      <c r="F2243" s="25"/>
      <c r="G2243" s="156" t="str">
        <f>HYPERLINK("https://ledvance.com/pt/product-datasheet/246839/243297","Ficha Técnica")</f>
        <v>Ficha Técnica</v>
      </c>
      <c r="H2243" s="15">
        <v>10</v>
      </c>
      <c r="I2243" s="163">
        <v>2300</v>
      </c>
      <c r="J2243" s="15">
        <v>18</v>
      </c>
      <c r="K2243" s="163" t="s">
        <v>46</v>
      </c>
      <c r="L2243" s="15">
        <v>3</v>
      </c>
      <c r="M2243" s="193">
        <v>34.1</v>
      </c>
      <c r="N2243" s="173" t="s">
        <v>571</v>
      </c>
    </row>
    <row r="2244" spans="1:14" x14ac:dyDescent="0.25">
      <c r="A2244" s="63" t="s">
        <v>570</v>
      </c>
      <c r="B2244" s="71" t="s">
        <v>3733</v>
      </c>
      <c r="C2244" s="2">
        <v>4058075822177</v>
      </c>
      <c r="D2244" s="103"/>
      <c r="E2244" s="127"/>
      <c r="F2244" s="25"/>
      <c r="G2244" s="156" t="str">
        <f>HYPERLINK("https://ledvance.com/pt/product-datasheet/246839/243303","Ficha Técnica")</f>
        <v>Ficha Técnica</v>
      </c>
      <c r="H2244" s="15">
        <v>10</v>
      </c>
      <c r="I2244" s="163">
        <v>2950</v>
      </c>
      <c r="J2244" s="15">
        <v>25</v>
      </c>
      <c r="K2244" s="163" t="s">
        <v>46</v>
      </c>
      <c r="L2244" s="15">
        <v>3</v>
      </c>
      <c r="M2244" s="193">
        <v>38.5</v>
      </c>
      <c r="N2244" s="173" t="s">
        <v>571</v>
      </c>
    </row>
    <row r="2245" spans="1:14" x14ac:dyDescent="0.25">
      <c r="A2245" s="63" t="s">
        <v>570</v>
      </c>
      <c r="B2245" s="71" t="s">
        <v>3734</v>
      </c>
      <c r="C2245" s="2">
        <v>4058075822191</v>
      </c>
      <c r="D2245" s="103"/>
      <c r="E2245" s="127"/>
      <c r="F2245" s="25"/>
      <c r="G2245" s="156" t="str">
        <f>HYPERLINK("https://ledvance.com/pt/product-datasheet/246839/243306","Ficha Técnica")</f>
        <v>Ficha Técnica</v>
      </c>
      <c r="H2245" s="15">
        <v>10</v>
      </c>
      <c r="I2245" s="163">
        <v>3250</v>
      </c>
      <c r="J2245" s="15">
        <v>25</v>
      </c>
      <c r="K2245" s="163" t="s">
        <v>46</v>
      </c>
      <c r="L2245" s="15">
        <v>3</v>
      </c>
      <c r="M2245" s="193">
        <v>38.5</v>
      </c>
      <c r="N2245" s="173" t="s">
        <v>571</v>
      </c>
    </row>
    <row r="2246" spans="1:14" x14ac:dyDescent="0.25">
      <c r="A2246" s="66" t="s">
        <v>570</v>
      </c>
      <c r="B2246" s="73" t="s">
        <v>2131</v>
      </c>
      <c r="C2246" s="52"/>
      <c r="D2246" s="65"/>
      <c r="E2246" s="92"/>
      <c r="F2246" s="12"/>
      <c r="G2246" s="157"/>
      <c r="H2246" s="12"/>
      <c r="I2246" s="62"/>
      <c r="J2246" s="27"/>
      <c r="K2246" s="62"/>
      <c r="L2246" s="12"/>
      <c r="M2246" s="191"/>
      <c r="N2246" s="130"/>
    </row>
    <row r="2247" spans="1:14" x14ac:dyDescent="0.25">
      <c r="A2247" s="63" t="s">
        <v>570</v>
      </c>
      <c r="B2247" s="71" t="s">
        <v>3735</v>
      </c>
      <c r="C2247" s="2">
        <v>4058075822412</v>
      </c>
      <c r="D2247" s="103"/>
      <c r="E2247" s="127"/>
      <c r="F2247" s="25"/>
      <c r="G2247" s="156" t="str">
        <f>HYPERLINK("https://ledvance.com/pt/product-datasheet/246834/243339","Ficha Técnica")</f>
        <v>Ficha Técnica</v>
      </c>
      <c r="H2247" s="15">
        <v>10</v>
      </c>
      <c r="I2247" s="163">
        <v>900</v>
      </c>
      <c r="J2247" s="15">
        <v>8</v>
      </c>
      <c r="K2247" s="163" t="s">
        <v>46</v>
      </c>
      <c r="L2247" s="15">
        <v>3</v>
      </c>
      <c r="M2247" s="193">
        <v>24.6</v>
      </c>
      <c r="N2247" s="173" t="s">
        <v>571</v>
      </c>
    </row>
    <row r="2248" spans="1:14" x14ac:dyDescent="0.25">
      <c r="A2248" s="63" t="s">
        <v>570</v>
      </c>
      <c r="B2248" s="71" t="s">
        <v>3736</v>
      </c>
      <c r="C2248" s="2">
        <v>4058075822436</v>
      </c>
      <c r="D2248" s="103"/>
      <c r="E2248" s="127"/>
      <c r="F2248" s="25"/>
      <c r="G2248" s="156" t="str">
        <f>HYPERLINK("https://ledvance.com/pt/product-datasheet/246834/243342","Ficha Técnica")</f>
        <v>Ficha Técnica</v>
      </c>
      <c r="H2248" s="15">
        <v>10</v>
      </c>
      <c r="I2248" s="163">
        <v>1000</v>
      </c>
      <c r="J2248" s="15">
        <v>8</v>
      </c>
      <c r="K2248" s="163" t="s">
        <v>46</v>
      </c>
      <c r="L2248" s="15">
        <v>3</v>
      </c>
      <c r="M2248" s="193">
        <v>24.6</v>
      </c>
      <c r="N2248" s="173" t="s">
        <v>571</v>
      </c>
    </row>
    <row r="2249" spans="1:14" x14ac:dyDescent="0.25">
      <c r="A2249" s="63" t="s">
        <v>570</v>
      </c>
      <c r="B2249" s="71" t="s">
        <v>3737</v>
      </c>
      <c r="C2249" s="2">
        <v>4058075822450</v>
      </c>
      <c r="D2249" s="103"/>
      <c r="E2249" s="127"/>
      <c r="F2249" s="25"/>
      <c r="G2249" s="156" t="str">
        <f>HYPERLINK("https://ledvance.com/pt/product-datasheet/246834/243345","Ficha Técnica")</f>
        <v>Ficha Técnica</v>
      </c>
      <c r="H2249" s="15">
        <v>10</v>
      </c>
      <c r="I2249" s="163">
        <v>1350</v>
      </c>
      <c r="J2249" s="15">
        <v>12</v>
      </c>
      <c r="K2249" s="163" t="s">
        <v>46</v>
      </c>
      <c r="L2249" s="15">
        <v>3</v>
      </c>
      <c r="M2249" s="193">
        <v>25</v>
      </c>
      <c r="N2249" s="173" t="s">
        <v>571</v>
      </c>
    </row>
    <row r="2250" spans="1:14" x14ac:dyDescent="0.25">
      <c r="A2250" s="63" t="s">
        <v>570</v>
      </c>
      <c r="B2250" s="71" t="s">
        <v>3738</v>
      </c>
      <c r="C2250" s="2">
        <v>4058075822474</v>
      </c>
      <c r="D2250" s="103"/>
      <c r="E2250" s="127"/>
      <c r="F2250" s="25"/>
      <c r="G2250" s="156" t="str">
        <f>HYPERLINK("https://ledvance.com/pt/product-datasheet/246834/243351","Ficha Técnica")</f>
        <v>Ficha Técnica</v>
      </c>
      <c r="H2250" s="15">
        <v>10</v>
      </c>
      <c r="I2250" s="163">
        <v>1500</v>
      </c>
      <c r="J2250" s="15">
        <v>12</v>
      </c>
      <c r="K2250" s="163" t="s">
        <v>46</v>
      </c>
      <c r="L2250" s="15">
        <v>3</v>
      </c>
      <c r="M2250" s="193">
        <v>25</v>
      </c>
      <c r="N2250" s="173" t="s">
        <v>571</v>
      </c>
    </row>
    <row r="2251" spans="1:14" x14ac:dyDescent="0.25">
      <c r="A2251" s="63" t="s">
        <v>570</v>
      </c>
      <c r="B2251" s="71" t="s">
        <v>3739</v>
      </c>
      <c r="C2251" s="2">
        <v>4058075822498</v>
      </c>
      <c r="D2251" s="103"/>
      <c r="E2251" s="127"/>
      <c r="F2251" s="25"/>
      <c r="G2251" s="156" t="str">
        <f>HYPERLINK("https://ledvance.com/pt/product-datasheet/246834/243357","Ficha Técnica")</f>
        <v>Ficha Técnica</v>
      </c>
      <c r="H2251" s="15">
        <v>10</v>
      </c>
      <c r="I2251" s="163">
        <v>2250</v>
      </c>
      <c r="J2251" s="15">
        <v>20</v>
      </c>
      <c r="K2251" s="163" t="s">
        <v>46</v>
      </c>
      <c r="L2251" s="15">
        <v>3</v>
      </c>
      <c r="M2251" s="193">
        <v>25.8</v>
      </c>
      <c r="N2251" s="173" t="s">
        <v>571</v>
      </c>
    </row>
    <row r="2252" spans="1:14" x14ac:dyDescent="0.25">
      <c r="A2252" s="63" t="s">
        <v>570</v>
      </c>
      <c r="B2252" s="71" t="s">
        <v>3740</v>
      </c>
      <c r="C2252" s="2">
        <v>4058075822511</v>
      </c>
      <c r="D2252" s="103"/>
      <c r="E2252" s="127"/>
      <c r="F2252" s="25"/>
      <c r="G2252" s="156" t="str">
        <f>HYPERLINK("https://ledvance.com/pt/product-datasheet/246834/243363","Ficha Técnica")</f>
        <v>Ficha Técnica</v>
      </c>
      <c r="H2252" s="15">
        <v>10</v>
      </c>
      <c r="I2252" s="163">
        <v>2500</v>
      </c>
      <c r="J2252" s="15">
        <v>20</v>
      </c>
      <c r="K2252" s="163" t="s">
        <v>46</v>
      </c>
      <c r="L2252" s="15">
        <v>3</v>
      </c>
      <c r="M2252" s="193">
        <v>25.8</v>
      </c>
      <c r="N2252" s="173" t="s">
        <v>571</v>
      </c>
    </row>
    <row r="2253" spans="1:14" x14ac:dyDescent="0.25">
      <c r="A2253" s="66" t="s">
        <v>570</v>
      </c>
      <c r="B2253" s="73" t="s">
        <v>2132</v>
      </c>
      <c r="C2253" s="52"/>
      <c r="D2253" s="65"/>
      <c r="E2253" s="92"/>
      <c r="F2253" s="12"/>
      <c r="G2253" s="157"/>
      <c r="H2253" s="12"/>
      <c r="I2253" s="62"/>
      <c r="J2253" s="27"/>
      <c r="K2253" s="62"/>
      <c r="L2253" s="12"/>
      <c r="M2253" s="191"/>
      <c r="N2253" s="130"/>
    </row>
    <row r="2254" spans="1:14" x14ac:dyDescent="0.25">
      <c r="A2254" s="63" t="s">
        <v>570</v>
      </c>
      <c r="B2254" s="71" t="s">
        <v>3741</v>
      </c>
      <c r="C2254" s="2">
        <v>4058075822214</v>
      </c>
      <c r="D2254" s="103"/>
      <c r="E2254" s="127"/>
      <c r="F2254" s="25"/>
      <c r="G2254" s="156" t="str">
        <f>HYPERLINK("https://ledvance.com/pt/product-datasheet/246832/243309","Ficha Técnica")</f>
        <v>Ficha Técnica</v>
      </c>
      <c r="H2254" s="15">
        <v>10</v>
      </c>
      <c r="I2254" s="163">
        <v>630</v>
      </c>
      <c r="J2254" s="15">
        <v>6</v>
      </c>
      <c r="K2254" s="163" t="s">
        <v>46</v>
      </c>
      <c r="L2254" s="15">
        <v>3</v>
      </c>
      <c r="M2254" s="193">
        <v>19.899999999999999</v>
      </c>
      <c r="N2254" s="173" t="s">
        <v>571</v>
      </c>
    </row>
    <row r="2255" spans="1:14" x14ac:dyDescent="0.25">
      <c r="A2255" s="63" t="s">
        <v>570</v>
      </c>
      <c r="B2255" s="71" t="s">
        <v>3742</v>
      </c>
      <c r="C2255" s="2">
        <v>4058075822238</v>
      </c>
      <c r="D2255" s="103"/>
      <c r="E2255" s="127"/>
      <c r="F2255" s="25"/>
      <c r="G2255" s="156" t="str">
        <f>HYPERLINK("https://ledvance.com/pt/product-datasheet/246832/243312","Ficha Técnica")</f>
        <v>Ficha Técnica</v>
      </c>
      <c r="H2255" s="15">
        <v>10</v>
      </c>
      <c r="I2255" s="163">
        <v>700</v>
      </c>
      <c r="J2255" s="15">
        <v>6</v>
      </c>
      <c r="K2255" s="163" t="s">
        <v>46</v>
      </c>
      <c r="L2255" s="15">
        <v>3</v>
      </c>
      <c r="M2255" s="193">
        <v>19.899999999999999</v>
      </c>
      <c r="N2255" s="173" t="s">
        <v>571</v>
      </c>
    </row>
    <row r="2256" spans="1:14" x14ac:dyDescent="0.25">
      <c r="A2256" s="63" t="s">
        <v>570</v>
      </c>
      <c r="B2256" s="71" t="s">
        <v>3743</v>
      </c>
      <c r="C2256" s="2">
        <v>4058075822252</v>
      </c>
      <c r="D2256" s="103"/>
      <c r="E2256" s="127"/>
      <c r="F2256" s="25"/>
      <c r="G2256" s="156" t="str">
        <f>HYPERLINK("https://ledvance.com/pt/product-datasheet/246832/243315","Ficha Técnica")</f>
        <v>Ficha Técnica</v>
      </c>
      <c r="H2256" s="15">
        <v>10</v>
      </c>
      <c r="I2256" s="163">
        <v>720</v>
      </c>
      <c r="J2256" s="15">
        <v>7</v>
      </c>
      <c r="K2256" s="163" t="s">
        <v>46</v>
      </c>
      <c r="L2256" s="15">
        <v>3</v>
      </c>
      <c r="M2256" s="193">
        <v>21.4</v>
      </c>
      <c r="N2256" s="173" t="s">
        <v>571</v>
      </c>
    </row>
    <row r="2257" spans="1:14" x14ac:dyDescent="0.25">
      <c r="A2257" s="63" t="s">
        <v>570</v>
      </c>
      <c r="B2257" s="71" t="s">
        <v>3744</v>
      </c>
      <c r="C2257" s="2">
        <v>4058075822276</v>
      </c>
      <c r="D2257" s="103"/>
      <c r="E2257" s="127"/>
      <c r="F2257" s="25"/>
      <c r="G2257" s="156" t="str">
        <f>HYPERLINK("https://ledvance.com/pt/product-datasheet/246832/243318","Ficha Técnica")</f>
        <v>Ficha Técnica</v>
      </c>
      <c r="H2257" s="15">
        <v>10</v>
      </c>
      <c r="I2257" s="163">
        <v>800</v>
      </c>
      <c r="J2257" s="15">
        <v>7</v>
      </c>
      <c r="K2257" s="163" t="s">
        <v>46</v>
      </c>
      <c r="L2257" s="15">
        <v>3</v>
      </c>
      <c r="M2257" s="193">
        <v>21.4</v>
      </c>
      <c r="N2257" s="173" t="s">
        <v>571</v>
      </c>
    </row>
    <row r="2258" spans="1:14" x14ac:dyDescent="0.25">
      <c r="A2258" s="63" t="s">
        <v>570</v>
      </c>
      <c r="B2258" s="71" t="s">
        <v>3745</v>
      </c>
      <c r="C2258" s="2">
        <v>4058075822290</v>
      </c>
      <c r="D2258" s="103"/>
      <c r="E2258" s="127"/>
      <c r="F2258" s="25"/>
      <c r="G2258" s="156" t="str">
        <f>HYPERLINK("https://ledvance.com/pt/product-datasheet/246832/243321","Ficha Técnica")</f>
        <v>Ficha Técnica</v>
      </c>
      <c r="H2258" s="15">
        <v>10</v>
      </c>
      <c r="I2258" s="163">
        <v>990</v>
      </c>
      <c r="J2258" s="15">
        <v>10</v>
      </c>
      <c r="K2258" s="163" t="s">
        <v>46</v>
      </c>
      <c r="L2258" s="15">
        <v>3</v>
      </c>
      <c r="M2258" s="193">
        <v>23.6</v>
      </c>
      <c r="N2258" s="173" t="s">
        <v>571</v>
      </c>
    </row>
    <row r="2259" spans="1:14" x14ac:dyDescent="0.25">
      <c r="A2259" s="63" t="s">
        <v>570</v>
      </c>
      <c r="B2259" s="71" t="s">
        <v>3746</v>
      </c>
      <c r="C2259" s="2">
        <v>4058075822313</v>
      </c>
      <c r="D2259" s="103"/>
      <c r="E2259" s="127"/>
      <c r="F2259" s="25"/>
      <c r="G2259" s="156" t="str">
        <f>HYPERLINK("https://ledvance.com/pt/product-datasheet/246832/243324","Ficha Técnica")</f>
        <v>Ficha Técnica</v>
      </c>
      <c r="H2259" s="15">
        <v>10</v>
      </c>
      <c r="I2259" s="163">
        <v>1100</v>
      </c>
      <c r="J2259" s="15">
        <v>10</v>
      </c>
      <c r="K2259" s="163" t="s">
        <v>46</v>
      </c>
      <c r="L2259" s="15">
        <v>3</v>
      </c>
      <c r="M2259" s="193">
        <v>23.6</v>
      </c>
      <c r="N2259" s="173" t="s">
        <v>571</v>
      </c>
    </row>
    <row r="2260" spans="1:14" x14ac:dyDescent="0.25">
      <c r="A2260" s="63" t="s">
        <v>570</v>
      </c>
      <c r="B2260" s="71" t="s">
        <v>3747</v>
      </c>
      <c r="C2260" s="2">
        <v>4058075822337</v>
      </c>
      <c r="D2260" s="103"/>
      <c r="E2260" s="127"/>
      <c r="F2260" s="25"/>
      <c r="G2260" s="156" t="str">
        <f>HYPERLINK("https://ledvance.com/pt/product-datasheet/246832/243327","Ficha Técnica")</f>
        <v>Ficha Técnica</v>
      </c>
      <c r="H2260" s="15">
        <v>10</v>
      </c>
      <c r="I2260" s="163">
        <v>1620</v>
      </c>
      <c r="J2260" s="15">
        <v>16</v>
      </c>
      <c r="K2260" s="163" t="s">
        <v>46</v>
      </c>
      <c r="L2260" s="15">
        <v>3</v>
      </c>
      <c r="M2260" s="193">
        <v>25.7</v>
      </c>
      <c r="N2260" s="173" t="s">
        <v>571</v>
      </c>
    </row>
    <row r="2261" spans="1:14" x14ac:dyDescent="0.25">
      <c r="A2261" s="63" t="s">
        <v>570</v>
      </c>
      <c r="B2261" s="71" t="s">
        <v>3748</v>
      </c>
      <c r="C2261" s="2">
        <v>4058075822351</v>
      </c>
      <c r="D2261" s="103"/>
      <c r="E2261" s="127"/>
      <c r="F2261" s="25"/>
      <c r="G2261" s="156" t="str">
        <f>HYPERLINK("https://ledvance.com/pt/product-datasheet/246832/243330","Ficha Técnica")</f>
        <v>Ficha Técnica</v>
      </c>
      <c r="H2261" s="15">
        <v>10</v>
      </c>
      <c r="I2261" s="163">
        <v>1800</v>
      </c>
      <c r="J2261" s="15">
        <v>16</v>
      </c>
      <c r="K2261" s="163" t="s">
        <v>46</v>
      </c>
      <c r="L2261" s="15">
        <v>3</v>
      </c>
      <c r="M2261" s="193">
        <v>25.7</v>
      </c>
      <c r="N2261" s="173" t="s">
        <v>571</v>
      </c>
    </row>
    <row r="2262" spans="1:14" x14ac:dyDescent="0.25">
      <c r="A2262" s="63" t="s">
        <v>570</v>
      </c>
      <c r="B2262" s="71" t="s">
        <v>3749</v>
      </c>
      <c r="C2262" s="2">
        <v>4058075822375</v>
      </c>
      <c r="D2262" s="103"/>
      <c r="E2262" s="127"/>
      <c r="F2262" s="25"/>
      <c r="G2262" s="156" t="str">
        <f>HYPERLINK("https://ledvance.com/pt/product-datasheet/246832/243333","Ficha Técnica")</f>
        <v>Ficha Técnica</v>
      </c>
      <c r="H2262" s="15">
        <v>10</v>
      </c>
      <c r="I2262" s="163">
        <v>2025</v>
      </c>
      <c r="J2262" s="15">
        <v>20</v>
      </c>
      <c r="K2262" s="163" t="s">
        <v>46</v>
      </c>
      <c r="L2262" s="15">
        <v>3</v>
      </c>
      <c r="M2262" s="193">
        <v>27.9</v>
      </c>
      <c r="N2262" s="173" t="s">
        <v>571</v>
      </c>
    </row>
    <row r="2263" spans="1:14" x14ac:dyDescent="0.25">
      <c r="A2263" s="63" t="s">
        <v>570</v>
      </c>
      <c r="B2263" s="71" t="s">
        <v>3750</v>
      </c>
      <c r="C2263" s="2">
        <v>4058075822399</v>
      </c>
      <c r="D2263" s="103"/>
      <c r="E2263" s="127"/>
      <c r="F2263" s="25"/>
      <c r="G2263" s="156" t="str">
        <f>HYPERLINK("https://ledvance.com/pt/product-datasheet/246832/243336","Ficha Técnica")</f>
        <v>Ficha Técnica</v>
      </c>
      <c r="H2263" s="15">
        <v>10</v>
      </c>
      <c r="I2263" s="163">
        <v>2250</v>
      </c>
      <c r="J2263" s="15">
        <v>20</v>
      </c>
      <c r="K2263" s="163" t="s">
        <v>46</v>
      </c>
      <c r="L2263" s="15">
        <v>3</v>
      </c>
      <c r="M2263" s="193">
        <v>27.9</v>
      </c>
      <c r="N2263" s="173" t="s">
        <v>571</v>
      </c>
    </row>
    <row r="2264" spans="1:14" x14ac:dyDescent="0.25">
      <c r="A2264" s="66" t="s">
        <v>570</v>
      </c>
      <c r="B2264" s="80" t="s">
        <v>2133</v>
      </c>
      <c r="C2264" s="52"/>
      <c r="D2264" s="65"/>
      <c r="E2264" s="92"/>
      <c r="F2264" s="12"/>
      <c r="G2264" s="157"/>
      <c r="H2264" s="12"/>
      <c r="I2264" s="62"/>
      <c r="J2264" s="27"/>
      <c r="K2264" s="62"/>
      <c r="L2264" s="12"/>
      <c r="M2264" s="191"/>
      <c r="N2264" s="130"/>
    </row>
    <row r="2265" spans="1:14" x14ac:dyDescent="0.25">
      <c r="A2265" s="63" t="s">
        <v>570</v>
      </c>
      <c r="B2265" s="71" t="s">
        <v>3751</v>
      </c>
      <c r="C2265" s="2">
        <v>4058075822535</v>
      </c>
      <c r="D2265" s="103"/>
      <c r="E2265" s="127"/>
      <c r="F2265" s="25"/>
      <c r="G2265" s="156" t="str">
        <f>HYPERLINK("https://ledvance.com/pt/product-datasheet/246836/243369","Ficha Técnica")</f>
        <v>Ficha Técnica</v>
      </c>
      <c r="H2265" s="15">
        <v>10</v>
      </c>
      <c r="I2265" s="163">
        <v>720</v>
      </c>
      <c r="J2265" s="15">
        <v>7</v>
      </c>
      <c r="K2265" s="163" t="s">
        <v>46</v>
      </c>
      <c r="L2265" s="15">
        <v>3</v>
      </c>
      <c r="M2265" s="193">
        <v>19.899999999999999</v>
      </c>
      <c r="N2265" s="173" t="s">
        <v>571</v>
      </c>
    </row>
    <row r="2266" spans="1:14" x14ac:dyDescent="0.25">
      <c r="A2266" s="63" t="s">
        <v>570</v>
      </c>
      <c r="B2266" s="71" t="s">
        <v>3752</v>
      </c>
      <c r="C2266" s="2">
        <v>4058075822559</v>
      </c>
      <c r="D2266" s="103"/>
      <c r="E2266" s="127"/>
      <c r="F2266" s="25"/>
      <c r="G2266" s="156" t="str">
        <f>HYPERLINK("https://ledvance.com/pt/product-datasheet/246836/243375","Ficha Técnica")</f>
        <v>Ficha Técnica</v>
      </c>
      <c r="H2266" s="15">
        <v>10</v>
      </c>
      <c r="I2266" s="163">
        <v>720</v>
      </c>
      <c r="J2266" s="15">
        <v>7</v>
      </c>
      <c r="K2266" s="163" t="s">
        <v>46</v>
      </c>
      <c r="L2266" s="15">
        <v>3</v>
      </c>
      <c r="M2266" s="193">
        <v>19.899999999999999</v>
      </c>
      <c r="N2266" s="173" t="s">
        <v>571</v>
      </c>
    </row>
    <row r="2267" spans="1:14" x14ac:dyDescent="0.25">
      <c r="A2267" s="63" t="s">
        <v>570</v>
      </c>
      <c r="B2267" s="71" t="s">
        <v>3753</v>
      </c>
      <c r="C2267" s="2">
        <v>4058075822573</v>
      </c>
      <c r="D2267" s="103"/>
      <c r="E2267" s="127"/>
      <c r="F2267" s="25"/>
      <c r="G2267" s="156" t="str">
        <f>HYPERLINK("https://ledvance.com/pt/product-datasheet/246836/243381","Ficha Técnica")</f>
        <v>Ficha Técnica</v>
      </c>
      <c r="H2267" s="15">
        <v>10</v>
      </c>
      <c r="I2267" s="163">
        <v>1350</v>
      </c>
      <c r="J2267" s="15">
        <v>13</v>
      </c>
      <c r="K2267" s="163" t="s">
        <v>46</v>
      </c>
      <c r="L2267" s="15">
        <v>3</v>
      </c>
      <c r="M2267" s="193">
        <v>25.9</v>
      </c>
      <c r="N2267" s="173" t="s">
        <v>571</v>
      </c>
    </row>
    <row r="2268" spans="1:14" x14ac:dyDescent="0.25">
      <c r="A2268" s="63" t="s">
        <v>570</v>
      </c>
      <c r="B2268" s="71" t="s">
        <v>3754</v>
      </c>
      <c r="C2268" s="2">
        <v>4058075822597</v>
      </c>
      <c r="D2268" s="103"/>
      <c r="E2268" s="127"/>
      <c r="F2268" s="25"/>
      <c r="G2268" s="156" t="str">
        <f>HYPERLINK("https://ledvance.com/pt/product-datasheet/246836/243384","Ficha Técnica")</f>
        <v>Ficha Técnica</v>
      </c>
      <c r="H2268" s="15">
        <v>10</v>
      </c>
      <c r="I2268" s="163">
        <v>1350</v>
      </c>
      <c r="J2268" s="15">
        <v>13</v>
      </c>
      <c r="K2268" s="163" t="s">
        <v>46</v>
      </c>
      <c r="L2268" s="15">
        <v>3</v>
      </c>
      <c r="M2268" s="193">
        <v>25.9</v>
      </c>
      <c r="N2268" s="173" t="s">
        <v>571</v>
      </c>
    </row>
    <row r="2269" spans="1:14" x14ac:dyDescent="0.25">
      <c r="A2269" s="66" t="s">
        <v>570</v>
      </c>
      <c r="B2269" s="80" t="s">
        <v>2134</v>
      </c>
      <c r="C2269" s="52"/>
      <c r="D2269" s="65"/>
      <c r="E2269" s="92"/>
      <c r="F2269" s="12"/>
      <c r="G2269" s="157"/>
      <c r="H2269" s="12"/>
      <c r="I2269" s="62"/>
      <c r="J2269" s="27"/>
      <c r="K2269" s="62"/>
      <c r="L2269" s="12"/>
      <c r="M2269" s="191"/>
      <c r="N2269" s="130"/>
    </row>
    <row r="2270" spans="1:14" x14ac:dyDescent="0.25">
      <c r="A2270" s="63" t="s">
        <v>570</v>
      </c>
      <c r="B2270" s="71" t="s">
        <v>3755</v>
      </c>
      <c r="C2270" s="2">
        <v>4058075823211</v>
      </c>
      <c r="D2270" s="118"/>
      <c r="E2270" s="132"/>
      <c r="F2270" s="25"/>
      <c r="G2270" s="156" t="str">
        <f>HYPERLINK("https://ledvance.com/pt/product-datasheet/246829/243175","Ficha Técnica")</f>
        <v>Ficha Técnica</v>
      </c>
      <c r="H2270" s="15">
        <v>10</v>
      </c>
      <c r="I2270" s="163">
        <v>630</v>
      </c>
      <c r="J2270" s="15">
        <v>6</v>
      </c>
      <c r="K2270" s="163" t="s">
        <v>46</v>
      </c>
      <c r="L2270" s="15">
        <v>3</v>
      </c>
      <c r="M2270" s="193">
        <v>10.1</v>
      </c>
      <c r="N2270" s="173" t="s">
        <v>571</v>
      </c>
    </row>
    <row r="2271" spans="1:14" x14ac:dyDescent="0.25">
      <c r="A2271" s="63" t="s">
        <v>570</v>
      </c>
      <c r="B2271" s="71" t="s">
        <v>3756</v>
      </c>
      <c r="C2271" s="2">
        <v>4058075823235</v>
      </c>
      <c r="D2271" s="118"/>
      <c r="E2271" s="132"/>
      <c r="F2271" s="25"/>
      <c r="G2271" s="156" t="str">
        <f>HYPERLINK("https://ledvance.com/pt/product-datasheet/246829/243178","Ficha Técnica")</f>
        <v>Ficha Técnica</v>
      </c>
      <c r="H2271" s="15">
        <v>10</v>
      </c>
      <c r="I2271" s="163">
        <v>700</v>
      </c>
      <c r="J2271" s="15">
        <v>6</v>
      </c>
      <c r="K2271" s="163" t="s">
        <v>46</v>
      </c>
      <c r="L2271" s="15">
        <v>3</v>
      </c>
      <c r="M2271" s="193">
        <v>10.1</v>
      </c>
      <c r="N2271" s="173" t="s">
        <v>571</v>
      </c>
    </row>
    <row r="2272" spans="1:14" x14ac:dyDescent="0.25">
      <c r="A2272" s="63" t="s">
        <v>570</v>
      </c>
      <c r="B2272" s="71" t="s">
        <v>3757</v>
      </c>
      <c r="C2272" s="2">
        <v>4058075823259</v>
      </c>
      <c r="D2272" s="118"/>
      <c r="E2272" s="132"/>
      <c r="F2272" s="25"/>
      <c r="G2272" s="156" t="str">
        <f>HYPERLINK("https://ledvance.com/pt/product-datasheet/246829/243181","Ficha Técnica")</f>
        <v>Ficha Técnica</v>
      </c>
      <c r="H2272" s="15">
        <v>10</v>
      </c>
      <c r="I2272" s="163">
        <v>720</v>
      </c>
      <c r="J2272" s="15">
        <v>7</v>
      </c>
      <c r="K2272" s="163" t="s">
        <v>46</v>
      </c>
      <c r="L2272" s="15">
        <v>3</v>
      </c>
      <c r="M2272" s="193">
        <v>12</v>
      </c>
      <c r="N2272" s="173" t="s">
        <v>571</v>
      </c>
    </row>
    <row r="2273" spans="1:14" x14ac:dyDescent="0.25">
      <c r="A2273" s="63" t="s">
        <v>570</v>
      </c>
      <c r="B2273" s="71" t="s">
        <v>3758</v>
      </c>
      <c r="C2273" s="2">
        <v>4058075823273</v>
      </c>
      <c r="D2273" s="118"/>
      <c r="E2273" s="132"/>
      <c r="F2273" s="25"/>
      <c r="G2273" s="156" t="str">
        <f>HYPERLINK("https://ledvance.com/pt/product-datasheet/246829/243184","Ficha Técnica")</f>
        <v>Ficha Técnica</v>
      </c>
      <c r="H2273" s="15">
        <v>10</v>
      </c>
      <c r="I2273" s="163">
        <v>800</v>
      </c>
      <c r="J2273" s="15">
        <v>7</v>
      </c>
      <c r="K2273" s="163" t="s">
        <v>46</v>
      </c>
      <c r="L2273" s="15">
        <v>3</v>
      </c>
      <c r="M2273" s="193">
        <v>12</v>
      </c>
      <c r="N2273" s="173" t="s">
        <v>571</v>
      </c>
    </row>
    <row r="2274" spans="1:14" x14ac:dyDescent="0.25">
      <c r="A2274" s="63" t="s">
        <v>570</v>
      </c>
      <c r="B2274" s="71" t="s">
        <v>3759</v>
      </c>
      <c r="C2274" s="2">
        <v>4058075823297</v>
      </c>
      <c r="D2274" s="118"/>
      <c r="E2274" s="132"/>
      <c r="F2274" s="25"/>
      <c r="G2274" s="156" t="str">
        <f>HYPERLINK("https://ledvance.com/pt/product-datasheet/246829/243187","Ficha Técnica")</f>
        <v>Ficha Técnica</v>
      </c>
      <c r="H2274" s="15">
        <v>10</v>
      </c>
      <c r="I2274" s="163">
        <v>1000</v>
      </c>
      <c r="J2274" s="15">
        <v>9</v>
      </c>
      <c r="K2274" s="163" t="s">
        <v>46</v>
      </c>
      <c r="L2274" s="15">
        <v>3</v>
      </c>
      <c r="M2274" s="193">
        <v>14</v>
      </c>
      <c r="N2274" s="173" t="s">
        <v>571</v>
      </c>
    </row>
    <row r="2275" spans="1:14" x14ac:dyDescent="0.25">
      <c r="A2275" s="63" t="s">
        <v>570</v>
      </c>
      <c r="B2275" s="71" t="s">
        <v>3760</v>
      </c>
      <c r="C2275" s="2">
        <v>4058075823310</v>
      </c>
      <c r="D2275" s="118"/>
      <c r="E2275" s="132"/>
      <c r="F2275" s="25"/>
      <c r="G2275" s="156" t="str">
        <f>HYPERLINK("https://ledvance.com/pt/product-datasheet/246829/243190","Ficha Técnica")</f>
        <v>Ficha Técnica</v>
      </c>
      <c r="H2275" s="15">
        <v>10</v>
      </c>
      <c r="I2275" s="163">
        <v>1100</v>
      </c>
      <c r="J2275" s="15">
        <v>9</v>
      </c>
      <c r="K2275" s="163" t="s">
        <v>46</v>
      </c>
      <c r="L2275" s="15">
        <v>3</v>
      </c>
      <c r="M2275" s="193">
        <v>14</v>
      </c>
      <c r="N2275" s="173" t="s">
        <v>571</v>
      </c>
    </row>
    <row r="2276" spans="1:14" x14ac:dyDescent="0.25">
      <c r="A2276" s="66" t="s">
        <v>570</v>
      </c>
      <c r="B2276" s="80" t="s">
        <v>2149</v>
      </c>
      <c r="C2276" s="52"/>
      <c r="D2276" s="65"/>
      <c r="E2276" s="92"/>
      <c r="F2276" s="12"/>
      <c r="G2276" s="157"/>
      <c r="H2276" s="12"/>
      <c r="I2276" s="62"/>
      <c r="J2276" s="27"/>
      <c r="K2276" s="62"/>
      <c r="L2276" s="12"/>
      <c r="M2276" s="191"/>
      <c r="N2276" s="130"/>
    </row>
    <row r="2277" spans="1:14" x14ac:dyDescent="0.25">
      <c r="A2277" s="63" t="s">
        <v>570</v>
      </c>
      <c r="B2277" s="71" t="s">
        <v>591</v>
      </c>
      <c r="C2277" s="2">
        <v>4099854040603</v>
      </c>
      <c r="D2277" s="118"/>
      <c r="E2277" s="119"/>
      <c r="F2277" s="25"/>
      <c r="G2277" s="156" t="str">
        <f>HYPERLINK("https://ledvance.com/pt/product-datasheet/248189/234292","Ficha Técnica")</f>
        <v>Ficha Técnica</v>
      </c>
      <c r="H2277" s="15">
        <v>6</v>
      </c>
      <c r="I2277" s="163">
        <v>1800</v>
      </c>
      <c r="J2277" s="15" t="s">
        <v>1882</v>
      </c>
      <c r="K2277" s="163" t="s">
        <v>138</v>
      </c>
      <c r="L2277" s="15">
        <v>5</v>
      </c>
      <c r="M2277" s="193">
        <v>64.8</v>
      </c>
      <c r="N2277" s="173" t="s">
        <v>571</v>
      </c>
    </row>
    <row r="2278" spans="1:14" x14ac:dyDescent="0.25">
      <c r="A2278" s="63" t="s">
        <v>570</v>
      </c>
      <c r="B2278" s="71" t="s">
        <v>592</v>
      </c>
      <c r="C2278" s="2">
        <v>4099854040627</v>
      </c>
      <c r="D2278" s="118"/>
      <c r="E2278" s="119"/>
      <c r="F2278" s="25"/>
      <c r="G2278" s="156" t="str">
        <f>HYPERLINK("https://ledvance.com/pt/product-datasheet/248189/234295","Ficha Técnica")</f>
        <v>Ficha Técnica</v>
      </c>
      <c r="H2278" s="15">
        <v>6</v>
      </c>
      <c r="I2278" s="163">
        <v>2000</v>
      </c>
      <c r="J2278" s="15" t="s">
        <v>1882</v>
      </c>
      <c r="K2278" s="163" t="s">
        <v>138</v>
      </c>
      <c r="L2278" s="15">
        <v>5</v>
      </c>
      <c r="M2278" s="193">
        <v>64.8</v>
      </c>
      <c r="N2278" s="173" t="s">
        <v>571</v>
      </c>
    </row>
    <row r="2279" spans="1:14" x14ac:dyDescent="0.25">
      <c r="A2279" s="63" t="s">
        <v>570</v>
      </c>
      <c r="B2279" s="71" t="s">
        <v>593</v>
      </c>
      <c r="C2279" s="2">
        <v>4099854040641</v>
      </c>
      <c r="D2279" s="118"/>
      <c r="E2279" s="119"/>
      <c r="F2279" s="25"/>
      <c r="G2279" s="156" t="str">
        <f>HYPERLINK("https://ledvance.com/pt/product-datasheet/248189/234298","Ficha Técnica")</f>
        <v>Ficha Técnica</v>
      </c>
      <c r="H2279" s="15">
        <v>6</v>
      </c>
      <c r="I2279" s="163">
        <v>2700</v>
      </c>
      <c r="J2279" s="15" t="s">
        <v>1878</v>
      </c>
      <c r="K2279" s="163" t="s">
        <v>138</v>
      </c>
      <c r="L2279" s="15">
        <v>5</v>
      </c>
      <c r="M2279" s="193">
        <v>76.599999999999994</v>
      </c>
      <c r="N2279" s="173" t="s">
        <v>571</v>
      </c>
    </row>
    <row r="2280" spans="1:14" x14ac:dyDescent="0.25">
      <c r="A2280" s="63" t="s">
        <v>570</v>
      </c>
      <c r="B2280" s="71" t="s">
        <v>594</v>
      </c>
      <c r="C2280" s="2">
        <v>4099854040665</v>
      </c>
      <c r="D2280" s="118"/>
      <c r="E2280" s="119"/>
      <c r="F2280" s="25"/>
      <c r="G2280" s="156" t="str">
        <f>HYPERLINK("https://ledvance.com/pt/product-datasheet/248189/234301","Ficha Técnica")</f>
        <v>Ficha Técnica</v>
      </c>
      <c r="H2280" s="15">
        <v>6</v>
      </c>
      <c r="I2280" s="163">
        <v>3000</v>
      </c>
      <c r="J2280" s="15" t="s">
        <v>1878</v>
      </c>
      <c r="K2280" s="163" t="s">
        <v>138</v>
      </c>
      <c r="L2280" s="15">
        <v>5</v>
      </c>
      <c r="M2280" s="193">
        <v>76.599999999999994</v>
      </c>
      <c r="N2280" s="173" t="s">
        <v>571</v>
      </c>
    </row>
    <row r="2281" spans="1:14" x14ac:dyDescent="0.25">
      <c r="A2281" s="63" t="s">
        <v>570</v>
      </c>
      <c r="B2281" s="71" t="s">
        <v>595</v>
      </c>
      <c r="C2281" s="2">
        <v>4099854040689</v>
      </c>
      <c r="D2281" s="118"/>
      <c r="E2281" s="119"/>
      <c r="F2281" s="25"/>
      <c r="G2281" s="156" t="str">
        <f>HYPERLINK("https://ledvance.com/pt/product-datasheet/248189/234304","Ficha Técnica")</f>
        <v>Ficha Técnica</v>
      </c>
      <c r="H2281" s="15">
        <v>6</v>
      </c>
      <c r="I2281" s="163">
        <v>3600</v>
      </c>
      <c r="J2281" s="15">
        <v>29</v>
      </c>
      <c r="K2281" s="163" t="s">
        <v>138</v>
      </c>
      <c r="L2281" s="15">
        <v>5</v>
      </c>
      <c r="M2281" s="193">
        <v>85.6</v>
      </c>
      <c r="N2281" s="173" t="s">
        <v>571</v>
      </c>
    </row>
    <row r="2282" spans="1:14" x14ac:dyDescent="0.25">
      <c r="A2282" s="63" t="s">
        <v>570</v>
      </c>
      <c r="B2282" s="71" t="s">
        <v>596</v>
      </c>
      <c r="C2282" s="2">
        <v>4099854040702</v>
      </c>
      <c r="D2282" s="118"/>
      <c r="E2282" s="119"/>
      <c r="F2282" s="25"/>
      <c r="G2282" s="156" t="str">
        <f>HYPERLINK("https://ledvance.com/pt/product-datasheet/248189/234307","Ficha Técnica")</f>
        <v>Ficha Técnica</v>
      </c>
      <c r="H2282" s="15">
        <v>6</v>
      </c>
      <c r="I2282" s="163">
        <v>4000</v>
      </c>
      <c r="J2282" s="15">
        <v>29</v>
      </c>
      <c r="K2282" s="163" t="s">
        <v>138</v>
      </c>
      <c r="L2282" s="15">
        <v>5</v>
      </c>
      <c r="M2282" s="193">
        <v>85.6</v>
      </c>
      <c r="N2282" s="173" t="s">
        <v>571</v>
      </c>
    </row>
    <row r="2283" spans="1:14" x14ac:dyDescent="0.25">
      <c r="A2283" s="63" t="s">
        <v>570</v>
      </c>
      <c r="B2283" s="71" t="s">
        <v>597</v>
      </c>
      <c r="C2283" s="2">
        <v>4099854040726</v>
      </c>
      <c r="D2283" s="118"/>
      <c r="E2283" s="119"/>
      <c r="F2283" s="25"/>
      <c r="G2283" s="156" t="str">
        <f>HYPERLINK("https://ledvance.com/pt/product-datasheet/248189/234310","Ficha Técnica")</f>
        <v>Ficha Técnica</v>
      </c>
      <c r="H2283" s="15">
        <v>6</v>
      </c>
      <c r="I2283" s="163">
        <v>5400</v>
      </c>
      <c r="J2283" s="15">
        <v>41</v>
      </c>
      <c r="K2283" s="163" t="s">
        <v>138</v>
      </c>
      <c r="L2283" s="15">
        <v>5</v>
      </c>
      <c r="M2283" s="193">
        <v>114.3</v>
      </c>
      <c r="N2283" s="173" t="s">
        <v>571</v>
      </c>
    </row>
    <row r="2284" spans="1:14" x14ac:dyDescent="0.25">
      <c r="A2284" s="63" t="s">
        <v>570</v>
      </c>
      <c r="B2284" s="71" t="s">
        <v>598</v>
      </c>
      <c r="C2284" s="2">
        <v>4099854040740</v>
      </c>
      <c r="D2284" s="118"/>
      <c r="E2284" s="119"/>
      <c r="F2284" s="25"/>
      <c r="G2284" s="156" t="str">
        <f>HYPERLINK("https://ledvance.com/pt/product-datasheet/248189/234313","Ficha Técnica")</f>
        <v>Ficha Técnica</v>
      </c>
      <c r="H2284" s="15">
        <v>6</v>
      </c>
      <c r="I2284" s="163">
        <v>6000</v>
      </c>
      <c r="J2284" s="15">
        <v>41</v>
      </c>
      <c r="K2284" s="163" t="s">
        <v>138</v>
      </c>
      <c r="L2284" s="15">
        <v>5</v>
      </c>
      <c r="M2284" s="193">
        <v>114.3</v>
      </c>
      <c r="N2284" s="173" t="s">
        <v>571</v>
      </c>
    </row>
    <row r="2285" spans="1:14" x14ac:dyDescent="0.25">
      <c r="A2285" s="63" t="s">
        <v>570</v>
      </c>
      <c r="B2285" s="71" t="s">
        <v>599</v>
      </c>
      <c r="C2285" s="2">
        <v>4099854040764</v>
      </c>
      <c r="D2285" s="118"/>
      <c r="E2285" s="119"/>
      <c r="F2285" s="25"/>
      <c r="G2285" s="156" t="str">
        <f>HYPERLINK("https://ledvance.com/pt/product-datasheet/248189/234316","Ficha Técnica")</f>
        <v>Ficha Técnica</v>
      </c>
      <c r="H2285" s="15">
        <v>6</v>
      </c>
      <c r="I2285" s="163">
        <v>5400</v>
      </c>
      <c r="J2285" s="15">
        <v>41</v>
      </c>
      <c r="K2285" s="163" t="s">
        <v>138</v>
      </c>
      <c r="L2285" s="15">
        <v>5</v>
      </c>
      <c r="M2285" s="193">
        <v>114.4</v>
      </c>
      <c r="N2285" s="173" t="s">
        <v>571</v>
      </c>
    </row>
    <row r="2286" spans="1:14" x14ac:dyDescent="0.25">
      <c r="A2286" s="63" t="s">
        <v>570</v>
      </c>
      <c r="B2286" s="71" t="s">
        <v>600</v>
      </c>
      <c r="C2286" s="2">
        <v>4099854040788</v>
      </c>
      <c r="D2286" s="118"/>
      <c r="E2286" s="119"/>
      <c r="F2286" s="25"/>
      <c r="G2286" s="156" t="str">
        <f>HYPERLINK("https://ledvance.com/pt/product-datasheet/248189/234319","Ficha Técnica")</f>
        <v>Ficha Técnica</v>
      </c>
      <c r="H2286" s="15">
        <v>6</v>
      </c>
      <c r="I2286" s="163">
        <v>6000</v>
      </c>
      <c r="J2286" s="15">
        <v>41</v>
      </c>
      <c r="K2286" s="163" t="s">
        <v>138</v>
      </c>
      <c r="L2286" s="15">
        <v>5</v>
      </c>
      <c r="M2286" s="193">
        <v>114.4</v>
      </c>
      <c r="N2286" s="173" t="s">
        <v>571</v>
      </c>
    </row>
    <row r="2287" spans="1:14" x14ac:dyDescent="0.25">
      <c r="A2287" s="63" t="s">
        <v>570</v>
      </c>
      <c r="B2287" s="71" t="s">
        <v>601</v>
      </c>
      <c r="C2287" s="2">
        <v>4099854040801</v>
      </c>
      <c r="D2287" s="118"/>
      <c r="E2287" s="119"/>
      <c r="F2287" s="25"/>
      <c r="G2287" s="156" t="str">
        <f>HYPERLINK("https://ledvance.com/pt/product-datasheet/248189/234322","Ficha Técnica")</f>
        <v>Ficha Técnica</v>
      </c>
      <c r="H2287" s="15">
        <v>6</v>
      </c>
      <c r="I2287" s="163">
        <v>11700</v>
      </c>
      <c r="J2287" s="15">
        <v>90</v>
      </c>
      <c r="K2287" s="163" t="s">
        <v>138</v>
      </c>
      <c r="L2287" s="15">
        <v>5</v>
      </c>
      <c r="M2287" s="193">
        <v>172.4</v>
      </c>
      <c r="N2287" s="173" t="s">
        <v>571</v>
      </c>
    </row>
    <row r="2288" spans="1:14" x14ac:dyDescent="0.25">
      <c r="A2288" s="63" t="s">
        <v>570</v>
      </c>
      <c r="B2288" s="71" t="s">
        <v>602</v>
      </c>
      <c r="C2288" s="2">
        <v>4099854040825</v>
      </c>
      <c r="D2288" s="118"/>
      <c r="E2288" s="119"/>
      <c r="F2288" s="25"/>
      <c r="G2288" s="156" t="str">
        <f>HYPERLINK("https://ledvance.com/pt/product-datasheet/248189/234325","Ficha Técnica")</f>
        <v>Ficha Técnica</v>
      </c>
      <c r="H2288" s="15">
        <v>6</v>
      </c>
      <c r="I2288" s="163">
        <v>13000</v>
      </c>
      <c r="J2288" s="15">
        <v>90</v>
      </c>
      <c r="K2288" s="163" t="s">
        <v>138</v>
      </c>
      <c r="L2288" s="15">
        <v>5</v>
      </c>
      <c r="M2288" s="193">
        <v>172.4</v>
      </c>
      <c r="N2288" s="173" t="s">
        <v>571</v>
      </c>
    </row>
    <row r="2289" spans="1:14" x14ac:dyDescent="0.25">
      <c r="A2289" s="66" t="s">
        <v>570</v>
      </c>
      <c r="B2289" s="73" t="s">
        <v>2150</v>
      </c>
      <c r="C2289" s="52"/>
      <c r="D2289" s="65"/>
      <c r="E2289" s="92"/>
      <c r="F2289" s="12"/>
      <c r="G2289" s="157"/>
      <c r="H2289" s="12"/>
      <c r="I2289" s="62"/>
      <c r="J2289" s="27"/>
      <c r="K2289" s="62"/>
      <c r="L2289" s="12"/>
      <c r="M2289" s="191"/>
      <c r="N2289" s="130"/>
    </row>
    <row r="2290" spans="1:14" x14ac:dyDescent="0.25">
      <c r="A2290" s="63" t="s">
        <v>570</v>
      </c>
      <c r="B2290" s="71" t="s">
        <v>3761</v>
      </c>
      <c r="C2290" s="2">
        <v>4099854071737</v>
      </c>
      <c r="D2290" s="118"/>
      <c r="E2290" s="132"/>
      <c r="F2290" s="25"/>
      <c r="G2290" s="156" t="str">
        <f>HYPERLINK("https://ledvance.com/pt/product-datasheet/247593/239378","Ficha Técnica")</f>
        <v>Ficha Técnica</v>
      </c>
      <c r="H2290" s="15">
        <v>6</v>
      </c>
      <c r="I2290" s="163">
        <v>1800</v>
      </c>
      <c r="J2290" s="15">
        <v>13</v>
      </c>
      <c r="K2290" s="163" t="s">
        <v>138</v>
      </c>
      <c r="L2290" s="15">
        <v>3</v>
      </c>
      <c r="M2290" s="193">
        <v>23</v>
      </c>
      <c r="N2290" s="173" t="s">
        <v>571</v>
      </c>
    </row>
    <row r="2291" spans="1:14" x14ac:dyDescent="0.25">
      <c r="A2291" s="63" t="s">
        <v>570</v>
      </c>
      <c r="B2291" s="71" t="s">
        <v>3762</v>
      </c>
      <c r="C2291" s="2">
        <v>4099854071751</v>
      </c>
      <c r="D2291" s="118"/>
      <c r="E2291" s="132"/>
      <c r="F2291" s="25"/>
      <c r="G2291" s="156" t="str">
        <f>HYPERLINK("https://ledvance.com/pt/product-datasheet/247593/239381","Ficha Técnica")</f>
        <v>Ficha Técnica</v>
      </c>
      <c r="H2291" s="15">
        <v>6</v>
      </c>
      <c r="I2291" s="163">
        <v>2000</v>
      </c>
      <c r="J2291" s="15">
        <v>13</v>
      </c>
      <c r="K2291" s="163" t="s">
        <v>138</v>
      </c>
      <c r="L2291" s="15">
        <v>3</v>
      </c>
      <c r="M2291" s="193">
        <v>23</v>
      </c>
      <c r="N2291" s="173" t="s">
        <v>571</v>
      </c>
    </row>
    <row r="2292" spans="1:14" x14ac:dyDescent="0.25">
      <c r="A2292" s="63" t="s">
        <v>570</v>
      </c>
      <c r="B2292" s="71" t="s">
        <v>3763</v>
      </c>
      <c r="C2292" s="2">
        <v>4099854071775</v>
      </c>
      <c r="D2292" s="118"/>
      <c r="E2292" s="132"/>
      <c r="F2292" s="25"/>
      <c r="G2292" s="156" t="str">
        <f>HYPERLINK("https://ledvance.com/pt/product-datasheet/247593/239384","Ficha Técnica")</f>
        <v>Ficha Técnica</v>
      </c>
      <c r="H2292" s="15">
        <v>6</v>
      </c>
      <c r="I2292" s="163">
        <v>2700</v>
      </c>
      <c r="J2292" s="15">
        <v>20</v>
      </c>
      <c r="K2292" s="163" t="s">
        <v>138</v>
      </c>
      <c r="L2292" s="15">
        <v>3</v>
      </c>
      <c r="M2292" s="193">
        <v>23.7</v>
      </c>
      <c r="N2292" s="173" t="s">
        <v>571</v>
      </c>
    </row>
    <row r="2293" spans="1:14" x14ac:dyDescent="0.25">
      <c r="A2293" s="63" t="s">
        <v>570</v>
      </c>
      <c r="B2293" s="71" t="s">
        <v>3764</v>
      </c>
      <c r="C2293" s="2">
        <v>4099854071799</v>
      </c>
      <c r="D2293" s="118"/>
      <c r="E2293" s="132"/>
      <c r="F2293" s="25"/>
      <c r="G2293" s="156" t="str">
        <f>HYPERLINK("https://ledvance.com/pt/product-datasheet/247593/239387","Ficha Técnica")</f>
        <v>Ficha Técnica</v>
      </c>
      <c r="H2293" s="15">
        <v>6</v>
      </c>
      <c r="I2293" s="163">
        <v>3000</v>
      </c>
      <c r="J2293" s="15">
        <v>20</v>
      </c>
      <c r="K2293" s="163" t="s">
        <v>138</v>
      </c>
      <c r="L2293" s="15">
        <v>3</v>
      </c>
      <c r="M2293" s="193">
        <v>23.7</v>
      </c>
      <c r="N2293" s="173" t="s">
        <v>571</v>
      </c>
    </row>
    <row r="2294" spans="1:14" x14ac:dyDescent="0.25">
      <c r="A2294" s="63" t="s">
        <v>570</v>
      </c>
      <c r="B2294" s="71" t="s">
        <v>3765</v>
      </c>
      <c r="C2294" s="2">
        <v>4099854071812</v>
      </c>
      <c r="D2294" s="118"/>
      <c r="E2294" s="132"/>
      <c r="F2294" s="25"/>
      <c r="G2294" s="156" t="str">
        <f>HYPERLINK("https://ledvance.com/pt/product-datasheet/247593/239390","Ficha Técnica")</f>
        <v>Ficha Técnica</v>
      </c>
      <c r="H2294" s="15">
        <v>6</v>
      </c>
      <c r="I2294" s="163">
        <v>3600</v>
      </c>
      <c r="J2294" s="15">
        <v>24</v>
      </c>
      <c r="K2294" s="163" t="s">
        <v>138</v>
      </c>
      <c r="L2294" s="15">
        <v>3</v>
      </c>
      <c r="M2294" s="193">
        <v>38.9</v>
      </c>
      <c r="N2294" s="173" t="s">
        <v>571</v>
      </c>
    </row>
    <row r="2295" spans="1:14" x14ac:dyDescent="0.25">
      <c r="A2295" s="63" t="s">
        <v>570</v>
      </c>
      <c r="B2295" s="71" t="s">
        <v>3766</v>
      </c>
      <c r="C2295" s="2">
        <v>4099854071836</v>
      </c>
      <c r="D2295" s="118"/>
      <c r="E2295" s="132"/>
      <c r="F2295" s="25"/>
      <c r="G2295" s="156" t="str">
        <f>HYPERLINK("https://ledvance.com/pt/product-datasheet/247593/239393","Ficha Técnica")</f>
        <v>Ficha Técnica</v>
      </c>
      <c r="H2295" s="15">
        <v>6</v>
      </c>
      <c r="I2295" s="163">
        <v>4000</v>
      </c>
      <c r="J2295" s="15">
        <v>24</v>
      </c>
      <c r="K2295" s="163" t="s">
        <v>138</v>
      </c>
      <c r="L2295" s="15">
        <v>3</v>
      </c>
      <c r="M2295" s="193">
        <v>38.9</v>
      </c>
      <c r="N2295" s="173" t="s">
        <v>571</v>
      </c>
    </row>
    <row r="2296" spans="1:14" x14ac:dyDescent="0.25">
      <c r="A2296" s="63" t="s">
        <v>570</v>
      </c>
      <c r="B2296" s="71" t="s">
        <v>3767</v>
      </c>
      <c r="C2296" s="2">
        <v>4099854071850</v>
      </c>
      <c r="D2296" s="118"/>
      <c r="E2296" s="132"/>
      <c r="F2296" s="25"/>
      <c r="G2296" s="156" t="str">
        <f>HYPERLINK("https://ledvance.com/pt/product-datasheet/247593/239396","Ficha Técnica")</f>
        <v>Ficha Técnica</v>
      </c>
      <c r="H2296" s="15">
        <v>6</v>
      </c>
      <c r="I2296" s="163">
        <v>5400</v>
      </c>
      <c r="J2296" s="15">
        <v>38</v>
      </c>
      <c r="K2296" s="163" t="s">
        <v>138</v>
      </c>
      <c r="L2296" s="15">
        <v>3</v>
      </c>
      <c r="M2296" s="193">
        <v>51.6</v>
      </c>
      <c r="N2296" s="173" t="s">
        <v>571</v>
      </c>
    </row>
    <row r="2297" spans="1:14" x14ac:dyDescent="0.25">
      <c r="A2297" s="63" t="s">
        <v>570</v>
      </c>
      <c r="B2297" s="71" t="s">
        <v>3768</v>
      </c>
      <c r="C2297" s="2">
        <v>4099854071874</v>
      </c>
      <c r="D2297" s="118"/>
      <c r="E2297" s="132"/>
      <c r="F2297" s="25"/>
      <c r="G2297" s="156" t="str">
        <f>HYPERLINK("https://ledvance.com/pt/product-datasheet/247593/239399","Ficha Técnica")</f>
        <v>Ficha Técnica</v>
      </c>
      <c r="H2297" s="15">
        <v>6</v>
      </c>
      <c r="I2297" s="163">
        <v>6000</v>
      </c>
      <c r="J2297" s="15">
        <v>38</v>
      </c>
      <c r="K2297" s="163" t="s">
        <v>138</v>
      </c>
      <c r="L2297" s="15">
        <v>3</v>
      </c>
      <c r="M2297" s="193">
        <v>51.6</v>
      </c>
      <c r="N2297" s="173" t="s">
        <v>571</v>
      </c>
    </row>
    <row r="2298" spans="1:14" x14ac:dyDescent="0.25">
      <c r="A2298" s="63" t="s">
        <v>570</v>
      </c>
      <c r="B2298" s="71" t="s">
        <v>3769</v>
      </c>
      <c r="C2298" s="2">
        <v>4099854071898</v>
      </c>
      <c r="D2298" s="103"/>
      <c r="E2298" s="132"/>
      <c r="F2298" s="15"/>
      <c r="G2298" s="156" t="str">
        <f>HYPERLINK("https://ledvance.com/pt/product-datasheet/247593/239402","Ficha Técnica")</f>
        <v>Ficha Técnica</v>
      </c>
      <c r="H2298" s="15">
        <v>6</v>
      </c>
      <c r="I2298" s="163">
        <v>5400</v>
      </c>
      <c r="J2298" s="15">
        <v>38</v>
      </c>
      <c r="K2298" s="163" t="s">
        <v>138</v>
      </c>
      <c r="L2298" s="15">
        <v>3</v>
      </c>
      <c r="M2298" s="193">
        <v>51.6</v>
      </c>
      <c r="N2298" s="173" t="s">
        <v>571</v>
      </c>
    </row>
    <row r="2299" spans="1:14" x14ac:dyDescent="0.25">
      <c r="A2299" s="63" t="s">
        <v>570</v>
      </c>
      <c r="B2299" s="71" t="s">
        <v>3770</v>
      </c>
      <c r="C2299" s="2">
        <v>4099854071911</v>
      </c>
      <c r="D2299" s="118"/>
      <c r="E2299" s="132"/>
      <c r="F2299" s="25"/>
      <c r="G2299" s="156" t="str">
        <f>HYPERLINK("https://ledvance.com/pt/product-datasheet/247593/239405","Ficha Técnica")</f>
        <v>Ficha Técnica</v>
      </c>
      <c r="H2299" s="15">
        <v>6</v>
      </c>
      <c r="I2299" s="163">
        <v>6000</v>
      </c>
      <c r="J2299" s="15">
        <v>38</v>
      </c>
      <c r="K2299" s="163" t="s">
        <v>138</v>
      </c>
      <c r="L2299" s="15">
        <v>3</v>
      </c>
      <c r="M2299" s="193">
        <v>51.6</v>
      </c>
      <c r="N2299" s="173" t="s">
        <v>571</v>
      </c>
    </row>
    <row r="2300" spans="1:14" x14ac:dyDescent="0.25">
      <c r="A2300" s="63" t="s">
        <v>570</v>
      </c>
      <c r="B2300" s="71" t="s">
        <v>3771</v>
      </c>
      <c r="C2300" s="2">
        <v>4099854071935</v>
      </c>
      <c r="D2300" s="118"/>
      <c r="E2300" s="132"/>
      <c r="F2300" s="25"/>
      <c r="G2300" s="156" t="str">
        <f>HYPERLINK("https://ledvance.com/pt/product-datasheet/247593/239408","Ficha Técnica")</f>
        <v>Ficha Técnica</v>
      </c>
      <c r="H2300" s="15">
        <v>6</v>
      </c>
      <c r="I2300" s="163">
        <v>8100</v>
      </c>
      <c r="J2300" s="15">
        <v>60</v>
      </c>
      <c r="K2300" s="163" t="s">
        <v>138</v>
      </c>
      <c r="L2300" s="15">
        <v>3</v>
      </c>
      <c r="M2300" s="193">
        <v>94.5</v>
      </c>
      <c r="N2300" s="173" t="s">
        <v>571</v>
      </c>
    </row>
    <row r="2301" spans="1:14" x14ac:dyDescent="0.25">
      <c r="A2301" s="63" t="s">
        <v>570</v>
      </c>
      <c r="B2301" s="71" t="s">
        <v>3772</v>
      </c>
      <c r="C2301" s="2">
        <v>4099854071959</v>
      </c>
      <c r="D2301" s="118"/>
      <c r="E2301" s="132"/>
      <c r="F2301" s="25"/>
      <c r="G2301" s="156" t="str">
        <f>HYPERLINK("https://ledvance.com/pt/product-datasheet/247593/239411","Ficha Técnica")</f>
        <v>Ficha Técnica</v>
      </c>
      <c r="H2301" s="15">
        <v>6</v>
      </c>
      <c r="I2301" s="163">
        <v>9000</v>
      </c>
      <c r="J2301" s="15">
        <v>60</v>
      </c>
      <c r="K2301" s="163" t="s">
        <v>138</v>
      </c>
      <c r="L2301" s="15">
        <v>3</v>
      </c>
      <c r="M2301" s="193">
        <v>94.5</v>
      </c>
      <c r="N2301" s="173" t="s">
        <v>571</v>
      </c>
    </row>
    <row r="2302" spans="1:14" x14ac:dyDescent="0.25">
      <c r="A2302" s="66" t="s">
        <v>570</v>
      </c>
      <c r="B2302" s="73" t="s">
        <v>2151</v>
      </c>
      <c r="C2302" s="52"/>
      <c r="D2302" s="65"/>
      <c r="E2302" s="92"/>
      <c r="F2302" s="12"/>
      <c r="G2302" s="157"/>
      <c r="H2302" s="12"/>
      <c r="I2302" s="62"/>
      <c r="J2302" s="27"/>
      <c r="K2302" s="62"/>
      <c r="L2302" s="12"/>
      <c r="M2302" s="191"/>
      <c r="N2302" s="130"/>
    </row>
    <row r="2303" spans="1:14" x14ac:dyDescent="0.25">
      <c r="A2303" s="63" t="s">
        <v>570</v>
      </c>
      <c r="B2303" s="71" t="s">
        <v>3773</v>
      </c>
      <c r="C2303" s="2">
        <v>4099854071973</v>
      </c>
      <c r="D2303" s="118"/>
      <c r="E2303" s="132"/>
      <c r="F2303" s="25"/>
      <c r="G2303" s="156" t="str">
        <f>HYPERLINK("https://ledvance.com/pt/product-datasheet/247601/239414","Ficha Técnica")</f>
        <v>Ficha Técnica</v>
      </c>
      <c r="H2303" s="15">
        <v>6</v>
      </c>
      <c r="I2303" s="163">
        <v>3600</v>
      </c>
      <c r="J2303" s="15">
        <v>21</v>
      </c>
      <c r="K2303" s="163" t="s">
        <v>138</v>
      </c>
      <c r="L2303" s="15">
        <v>3</v>
      </c>
      <c r="M2303" s="193">
        <v>31</v>
      </c>
      <c r="N2303" s="173" t="s">
        <v>571</v>
      </c>
    </row>
    <row r="2304" spans="1:14" x14ac:dyDescent="0.25">
      <c r="A2304" s="63" t="s">
        <v>570</v>
      </c>
      <c r="B2304" s="71" t="s">
        <v>3774</v>
      </c>
      <c r="C2304" s="2">
        <v>4099854071997</v>
      </c>
      <c r="D2304" s="118"/>
      <c r="E2304" s="132"/>
      <c r="F2304" s="25"/>
      <c r="G2304" s="156" t="str">
        <f>HYPERLINK("https://ledvance.com/pt/product-datasheet/247601/239417","Ficha Técnica")</f>
        <v>Ficha Técnica</v>
      </c>
      <c r="H2304" s="15">
        <v>6</v>
      </c>
      <c r="I2304" s="163">
        <v>4000</v>
      </c>
      <c r="J2304" s="15">
        <v>21</v>
      </c>
      <c r="K2304" s="163" t="s">
        <v>138</v>
      </c>
      <c r="L2304" s="15">
        <v>3</v>
      </c>
      <c r="M2304" s="193">
        <v>31</v>
      </c>
      <c r="N2304" s="173" t="s">
        <v>571</v>
      </c>
    </row>
    <row r="2305" spans="1:14" x14ac:dyDescent="0.25">
      <c r="A2305" s="63" t="s">
        <v>570</v>
      </c>
      <c r="B2305" s="71" t="s">
        <v>3775</v>
      </c>
      <c r="C2305" s="2">
        <v>4099854072017</v>
      </c>
      <c r="D2305" s="118"/>
      <c r="E2305" s="132"/>
      <c r="F2305" s="25"/>
      <c r="G2305" s="156" t="str">
        <f>HYPERLINK("https://ledvance.com/pt/product-datasheet/247601/239420","Ficha Técnica")</f>
        <v>Ficha Técnica</v>
      </c>
      <c r="H2305" s="15">
        <v>6</v>
      </c>
      <c r="I2305" s="163">
        <v>5400</v>
      </c>
      <c r="J2305" s="15">
        <v>35</v>
      </c>
      <c r="K2305" s="163" t="s">
        <v>138</v>
      </c>
      <c r="L2305" s="15">
        <v>3</v>
      </c>
      <c r="M2305" s="193">
        <v>41.4</v>
      </c>
      <c r="N2305" s="173" t="s">
        <v>571</v>
      </c>
    </row>
    <row r="2306" spans="1:14" x14ac:dyDescent="0.25">
      <c r="A2306" s="63" t="s">
        <v>570</v>
      </c>
      <c r="B2306" s="71" t="s">
        <v>3776</v>
      </c>
      <c r="C2306" s="2">
        <v>4099854072031</v>
      </c>
      <c r="D2306" s="118"/>
      <c r="E2306" s="132"/>
      <c r="F2306" s="25"/>
      <c r="G2306" s="156" t="str">
        <f>HYPERLINK("https://ledvance.com/pt/product-datasheet/247601/239423","Ficha Técnica")</f>
        <v>Ficha Técnica</v>
      </c>
      <c r="H2306" s="15">
        <v>6</v>
      </c>
      <c r="I2306" s="163">
        <v>6000</v>
      </c>
      <c r="J2306" s="15">
        <v>35</v>
      </c>
      <c r="K2306" s="163" t="s">
        <v>138</v>
      </c>
      <c r="L2306" s="15">
        <v>3</v>
      </c>
      <c r="M2306" s="193">
        <v>41.4</v>
      </c>
      <c r="N2306" s="173" t="s">
        <v>571</v>
      </c>
    </row>
    <row r="2307" spans="1:14" x14ac:dyDescent="0.25">
      <c r="A2307" s="63" t="s">
        <v>570</v>
      </c>
      <c r="B2307" s="71" t="s">
        <v>3777</v>
      </c>
      <c r="C2307" s="2">
        <v>4099854072055</v>
      </c>
      <c r="D2307" s="118"/>
      <c r="E2307" s="132"/>
      <c r="F2307" s="25"/>
      <c r="G2307" s="156" t="str">
        <f>HYPERLINK("https://ledvance.com/pt/product-datasheet/247601/239426","Ficha Técnica")</f>
        <v>Ficha Técnica</v>
      </c>
      <c r="H2307" s="15">
        <v>6</v>
      </c>
      <c r="I2307" s="163">
        <v>7000</v>
      </c>
      <c r="J2307" s="15">
        <v>41</v>
      </c>
      <c r="K2307" s="163" t="s">
        <v>138</v>
      </c>
      <c r="L2307" s="15">
        <v>3</v>
      </c>
      <c r="M2307" s="193">
        <v>52.6</v>
      </c>
      <c r="N2307" s="173" t="s">
        <v>571</v>
      </c>
    </row>
    <row r="2308" spans="1:14" x14ac:dyDescent="0.25">
      <c r="A2308" s="63" t="s">
        <v>570</v>
      </c>
      <c r="B2308" s="71" t="s">
        <v>3778</v>
      </c>
      <c r="C2308" s="2">
        <v>4099854072079</v>
      </c>
      <c r="D2308" s="118"/>
      <c r="E2308" s="132"/>
      <c r="F2308" s="25"/>
      <c r="G2308" s="156" t="str">
        <f>HYPERLINK("https://ledvance.com/pt/product-datasheet/247601/239429","Ficha Técnica")</f>
        <v>Ficha Técnica</v>
      </c>
      <c r="H2308" s="15">
        <v>6</v>
      </c>
      <c r="I2308" s="163">
        <v>7500</v>
      </c>
      <c r="J2308" s="15">
        <v>41</v>
      </c>
      <c r="K2308" s="163" t="s">
        <v>138</v>
      </c>
      <c r="L2308" s="15">
        <v>3</v>
      </c>
      <c r="M2308" s="193">
        <v>52.6</v>
      </c>
      <c r="N2308" s="173" t="s">
        <v>571</v>
      </c>
    </row>
    <row r="2309" spans="1:14" x14ac:dyDescent="0.25">
      <c r="A2309" s="66" t="s">
        <v>570</v>
      </c>
      <c r="B2309" s="73" t="s">
        <v>2152</v>
      </c>
      <c r="C2309" s="51"/>
      <c r="D2309" s="65"/>
      <c r="E2309" s="86"/>
      <c r="F2309" s="12"/>
      <c r="G2309" s="157"/>
      <c r="H2309" s="12"/>
      <c r="I2309" s="62"/>
      <c r="J2309" s="27"/>
      <c r="K2309" s="62"/>
      <c r="L2309" s="12"/>
      <c r="M2309" s="191"/>
      <c r="N2309" s="130"/>
    </row>
    <row r="2310" spans="1:14" x14ac:dyDescent="0.25">
      <c r="A2310" s="63" t="s">
        <v>570</v>
      </c>
      <c r="B2310" s="71" t="s">
        <v>3779</v>
      </c>
      <c r="C2310" s="2">
        <v>4058075843585</v>
      </c>
      <c r="D2310" s="93"/>
      <c r="E2310" s="61"/>
      <c r="G2310" s="156" t="str">
        <f>HYPERLINK("https://ledvance.com/pt/product-datasheet/304664/305418","Ficha Técnica")</f>
        <v>Ficha Técnica</v>
      </c>
      <c r="H2310" s="15">
        <v>6</v>
      </c>
      <c r="I2310" s="163">
        <v>1600</v>
      </c>
      <c r="J2310" s="15">
        <v>15</v>
      </c>
      <c r="K2310" s="163" t="s">
        <v>138</v>
      </c>
      <c r="L2310" s="15">
        <v>3</v>
      </c>
      <c r="M2310" s="193">
        <v>31</v>
      </c>
      <c r="N2310" s="173" t="s">
        <v>571</v>
      </c>
    </row>
    <row r="2311" spans="1:14" x14ac:dyDescent="0.25">
      <c r="A2311" s="63" t="s">
        <v>570</v>
      </c>
      <c r="B2311" s="71" t="s">
        <v>3780</v>
      </c>
      <c r="C2311" s="2">
        <v>4058075843608</v>
      </c>
      <c r="D2311" s="93"/>
      <c r="E2311" s="61"/>
      <c r="G2311" s="156" t="str">
        <f>HYPERLINK("https://ledvance.com/pt/product-datasheet/304664/305421","Ficha Técnica")</f>
        <v>Ficha Técnica</v>
      </c>
      <c r="H2311" s="15">
        <v>6</v>
      </c>
      <c r="I2311" s="163">
        <v>2500</v>
      </c>
      <c r="J2311" s="15">
        <v>23</v>
      </c>
      <c r="K2311" s="163" t="s">
        <v>138</v>
      </c>
      <c r="L2311" s="15">
        <v>3</v>
      </c>
      <c r="M2311" s="193">
        <v>41.4</v>
      </c>
      <c r="N2311" s="173" t="s">
        <v>571</v>
      </c>
    </row>
    <row r="2312" spans="1:14" x14ac:dyDescent="0.25">
      <c r="A2312" s="63" t="s">
        <v>570</v>
      </c>
      <c r="B2312" s="71" t="s">
        <v>3781</v>
      </c>
      <c r="C2312" s="2">
        <v>4058075843622</v>
      </c>
      <c r="D2312" s="93"/>
      <c r="E2312" s="61"/>
      <c r="G2312" s="156" t="str">
        <f>HYPERLINK("https://ledvance.com/pt/product-datasheet/304664/305424","Ficha Técnica")</f>
        <v>Ficha Técnica</v>
      </c>
      <c r="H2312" s="15">
        <v>6</v>
      </c>
      <c r="I2312" s="163">
        <v>3200</v>
      </c>
      <c r="J2312" s="15">
        <v>30</v>
      </c>
      <c r="K2312" s="163" t="s">
        <v>138</v>
      </c>
      <c r="L2312" s="15">
        <v>3</v>
      </c>
      <c r="M2312" s="193">
        <v>52.6</v>
      </c>
      <c r="N2312" s="173" t="s">
        <v>571</v>
      </c>
    </row>
    <row r="2313" spans="1:14" x14ac:dyDescent="0.25">
      <c r="A2313" s="66" t="s">
        <v>570</v>
      </c>
      <c r="B2313" s="73" t="s">
        <v>2195</v>
      </c>
      <c r="C2313" s="52"/>
      <c r="D2313" s="65"/>
      <c r="E2313" s="92"/>
      <c r="F2313" s="12"/>
      <c r="G2313" s="157"/>
      <c r="H2313" s="12"/>
      <c r="I2313" s="62"/>
      <c r="J2313" s="27"/>
      <c r="K2313" s="62"/>
      <c r="L2313" s="12"/>
      <c r="M2313" s="191"/>
      <c r="N2313" s="130"/>
    </row>
    <row r="2314" spans="1:14" x14ac:dyDescent="0.25">
      <c r="A2314" s="63" t="s">
        <v>570</v>
      </c>
      <c r="B2314" s="71" t="s">
        <v>603</v>
      </c>
      <c r="C2314" s="2">
        <v>4058075780385</v>
      </c>
      <c r="D2314" s="118"/>
      <c r="E2314" s="119"/>
      <c r="F2314" s="25"/>
      <c r="G2314" s="156" t="str">
        <f>HYPERLINK("https://ledvance.com/pt/product-datasheet/219094/209757","Ficha Técnica")</f>
        <v>Ficha Técnica</v>
      </c>
      <c r="H2314" s="15">
        <v>4</v>
      </c>
      <c r="I2314" s="163">
        <v>14000</v>
      </c>
      <c r="J2314" s="15">
        <v>105</v>
      </c>
      <c r="K2314" s="163" t="s">
        <v>153</v>
      </c>
      <c r="L2314" s="15">
        <v>5</v>
      </c>
      <c r="M2314" s="193">
        <v>162.19999999999999</v>
      </c>
      <c r="N2314" s="173" t="s">
        <v>571</v>
      </c>
    </row>
    <row r="2315" spans="1:14" x14ac:dyDescent="0.25">
      <c r="A2315" s="63" t="s">
        <v>570</v>
      </c>
      <c r="B2315" s="71" t="s">
        <v>604</v>
      </c>
      <c r="C2315" s="2">
        <v>4058075780408</v>
      </c>
      <c r="D2315" s="118"/>
      <c r="E2315" s="119"/>
      <c r="F2315" s="25"/>
      <c r="G2315" s="156" t="str">
        <f>HYPERLINK("https://ledvance.com/pt/product-datasheet/219094/209760","Ficha Técnica")</f>
        <v>Ficha Técnica</v>
      </c>
      <c r="H2315" s="15">
        <v>4</v>
      </c>
      <c r="I2315" s="163">
        <v>21000</v>
      </c>
      <c r="J2315" s="15">
        <v>150</v>
      </c>
      <c r="K2315" s="163" t="s">
        <v>153</v>
      </c>
      <c r="L2315" s="15">
        <v>5</v>
      </c>
      <c r="M2315" s="193">
        <v>212.4</v>
      </c>
      <c r="N2315" s="173" t="s">
        <v>571</v>
      </c>
    </row>
    <row r="2316" spans="1:14" x14ac:dyDescent="0.25">
      <c r="A2316" s="63" t="s">
        <v>570</v>
      </c>
      <c r="B2316" s="71" t="s">
        <v>605</v>
      </c>
      <c r="C2316" s="2">
        <v>4058075780422</v>
      </c>
      <c r="D2316" s="118"/>
      <c r="E2316" s="119"/>
      <c r="F2316" s="25"/>
      <c r="G2316" s="156" t="str">
        <f>HYPERLINK("https://ledvance.com/pt/product-datasheet/219094/209763","Ficha Técnica")</f>
        <v>Ficha Técnica</v>
      </c>
      <c r="H2316" s="15">
        <v>4</v>
      </c>
      <c r="I2316" s="163">
        <v>25000</v>
      </c>
      <c r="J2316" s="15">
        <v>160</v>
      </c>
      <c r="K2316" s="163" t="s">
        <v>153</v>
      </c>
      <c r="L2316" s="15">
        <v>5</v>
      </c>
      <c r="M2316" s="193">
        <v>233.3</v>
      </c>
      <c r="N2316" s="173" t="s">
        <v>571</v>
      </c>
    </row>
    <row r="2317" spans="1:14" x14ac:dyDescent="0.25">
      <c r="A2317" s="66" t="s">
        <v>570</v>
      </c>
      <c r="B2317" s="73" t="s">
        <v>606</v>
      </c>
      <c r="C2317" s="52"/>
      <c r="D2317" s="65"/>
      <c r="E2317" s="92"/>
      <c r="F2317" s="12"/>
      <c r="G2317" s="157"/>
      <c r="H2317" s="12"/>
      <c r="I2317" s="62"/>
      <c r="J2317" s="27"/>
      <c r="K2317" s="62"/>
      <c r="L2317" s="12"/>
      <c r="M2317" s="191"/>
      <c r="N2317" s="130"/>
    </row>
    <row r="2318" spans="1:14" x14ac:dyDescent="0.25">
      <c r="A2318" s="63" t="s">
        <v>570</v>
      </c>
      <c r="B2318" s="71" t="s">
        <v>1522</v>
      </c>
      <c r="C2318" s="2">
        <v>4099854065071</v>
      </c>
      <c r="D2318" s="118"/>
      <c r="E2318" s="132"/>
      <c r="G2318" s="156" t="str">
        <f>HYPERLINK("https://ledvance.com/pt/product-datasheet/251567/238058","Ficha Técnica")</f>
        <v>Ficha Técnica</v>
      </c>
      <c r="H2318" s="15">
        <v>10</v>
      </c>
      <c r="I2318" s="163">
        <v>806</v>
      </c>
      <c r="J2318" s="15" t="s">
        <v>1883</v>
      </c>
      <c r="K2318" s="163" t="s">
        <v>46</v>
      </c>
      <c r="L2318" s="15">
        <v>5</v>
      </c>
      <c r="M2318" s="193">
        <v>11</v>
      </c>
      <c r="N2318" s="173" t="s">
        <v>571</v>
      </c>
    </row>
    <row r="2319" spans="1:14" x14ac:dyDescent="0.25">
      <c r="A2319" s="63" t="s">
        <v>570</v>
      </c>
      <c r="B2319" s="71" t="s">
        <v>1523</v>
      </c>
      <c r="C2319" s="2">
        <v>4099854065170</v>
      </c>
      <c r="D2319" s="118"/>
      <c r="E2319" s="132"/>
      <c r="G2319" s="156" t="str">
        <f>HYPERLINK("https://ledvance.com/pt/product-datasheet/251567/238061","Ficha Técnica")</f>
        <v>Ficha Técnica</v>
      </c>
      <c r="H2319" s="15">
        <v>10</v>
      </c>
      <c r="I2319" s="163">
        <v>1055</v>
      </c>
      <c r="J2319" s="15" t="s">
        <v>1880</v>
      </c>
      <c r="K2319" s="163" t="s">
        <v>46</v>
      </c>
      <c r="L2319" s="15">
        <v>5</v>
      </c>
      <c r="M2319" s="193">
        <v>13.9</v>
      </c>
      <c r="N2319" s="173" t="s">
        <v>571</v>
      </c>
    </row>
    <row r="2320" spans="1:14" x14ac:dyDescent="0.25">
      <c r="A2320" s="63" t="s">
        <v>570</v>
      </c>
      <c r="B2320" s="71" t="s">
        <v>1524</v>
      </c>
      <c r="C2320" s="2">
        <v>4099854065217</v>
      </c>
      <c r="D2320" s="118"/>
      <c r="E2320" s="132"/>
      <c r="G2320" s="156" t="str">
        <f>HYPERLINK("https://ledvance.com/pt/product-datasheet/251567/238064","Ficha Técnica")</f>
        <v>Ficha Técnica</v>
      </c>
      <c r="H2320" s="15">
        <v>10</v>
      </c>
      <c r="I2320" s="163">
        <v>1521</v>
      </c>
      <c r="J2320" s="15" t="s">
        <v>1884</v>
      </c>
      <c r="K2320" s="163" t="s">
        <v>46</v>
      </c>
      <c r="L2320" s="15">
        <v>5</v>
      </c>
      <c r="M2320" s="193">
        <v>18.399999999999999</v>
      </c>
      <c r="N2320" s="173" t="s">
        <v>571</v>
      </c>
    </row>
    <row r="2321" spans="1:14" x14ac:dyDescent="0.25">
      <c r="A2321" s="63" t="s">
        <v>570</v>
      </c>
      <c r="B2321" s="71" t="s">
        <v>1525</v>
      </c>
      <c r="C2321" s="2">
        <v>4099854065231</v>
      </c>
      <c r="D2321" s="118"/>
      <c r="E2321" s="132"/>
      <c r="G2321" s="156" t="str">
        <f>HYPERLINK("https://ledvance.com/pt/product-datasheet/251567/238070","Ficha Técnica")</f>
        <v>Ficha Técnica</v>
      </c>
      <c r="H2321" s="15">
        <v>10</v>
      </c>
      <c r="I2321" s="163">
        <v>806</v>
      </c>
      <c r="J2321" s="15" t="s">
        <v>1883</v>
      </c>
      <c r="K2321" s="163" t="s">
        <v>46</v>
      </c>
      <c r="L2321" s="15">
        <v>5</v>
      </c>
      <c r="M2321" s="193">
        <v>11.5</v>
      </c>
      <c r="N2321" s="173" t="s">
        <v>571</v>
      </c>
    </row>
    <row r="2322" spans="1:14" x14ac:dyDescent="0.25">
      <c r="A2322" s="63" t="s">
        <v>570</v>
      </c>
      <c r="B2322" s="71" t="s">
        <v>1526</v>
      </c>
      <c r="C2322" s="2">
        <v>4099854065279</v>
      </c>
      <c r="D2322" s="118"/>
      <c r="E2322" s="132"/>
      <c r="G2322" s="156" t="str">
        <f>HYPERLINK("https://ledvance.com/pt/product-datasheet/251567/238073","Ficha Técnica")</f>
        <v>Ficha Técnica</v>
      </c>
      <c r="H2322" s="15">
        <v>10</v>
      </c>
      <c r="I2322" s="163">
        <v>1055</v>
      </c>
      <c r="J2322" s="15" t="s">
        <v>1880</v>
      </c>
      <c r="K2322" s="163" t="s">
        <v>46</v>
      </c>
      <c r="L2322" s="15">
        <v>5</v>
      </c>
      <c r="M2322" s="193">
        <v>14.2</v>
      </c>
      <c r="N2322" s="173" t="s">
        <v>571</v>
      </c>
    </row>
    <row r="2323" spans="1:14" x14ac:dyDescent="0.25">
      <c r="A2323" s="63" t="s">
        <v>570</v>
      </c>
      <c r="B2323" s="71" t="s">
        <v>1527</v>
      </c>
      <c r="C2323" s="2">
        <v>4099854065316</v>
      </c>
      <c r="D2323" s="118"/>
      <c r="E2323" s="132"/>
      <c r="G2323" s="156" t="str">
        <f>HYPERLINK("https://ledvance.com/pt/product-datasheet/251567/238076","Ficha Técnica")</f>
        <v>Ficha Técnica</v>
      </c>
      <c r="H2323" s="15">
        <v>10</v>
      </c>
      <c r="I2323" s="163">
        <v>1521</v>
      </c>
      <c r="J2323" s="15" t="s">
        <v>1884</v>
      </c>
      <c r="K2323" s="163" t="s">
        <v>46</v>
      </c>
      <c r="L2323" s="15">
        <v>5</v>
      </c>
      <c r="M2323" s="193">
        <v>19</v>
      </c>
      <c r="N2323" s="173" t="s">
        <v>571</v>
      </c>
    </row>
    <row r="2324" spans="1:14" x14ac:dyDescent="0.25">
      <c r="A2324" s="63" t="s">
        <v>570</v>
      </c>
      <c r="B2324" s="71" t="s">
        <v>1528</v>
      </c>
      <c r="C2324" s="2">
        <v>4099854065750</v>
      </c>
      <c r="D2324" s="118"/>
      <c r="E2324" s="132"/>
      <c r="G2324" s="156" t="str">
        <f>HYPERLINK("https://ledvance.com/pt/product-datasheet/251571/238079","Ficha Técnica")</f>
        <v>Ficha Técnica</v>
      </c>
      <c r="H2324" s="15">
        <v>10</v>
      </c>
      <c r="I2324" s="163">
        <v>470</v>
      </c>
      <c r="J2324" s="15" t="s">
        <v>1885</v>
      </c>
      <c r="K2324" s="163" t="s">
        <v>46</v>
      </c>
      <c r="L2324" s="15">
        <v>5</v>
      </c>
      <c r="M2324" s="193">
        <v>9.6</v>
      </c>
      <c r="N2324" s="173" t="s">
        <v>571</v>
      </c>
    </row>
    <row r="2325" spans="1:14" x14ac:dyDescent="0.25">
      <c r="A2325" s="63" t="s">
        <v>570</v>
      </c>
      <c r="B2325" s="71" t="s">
        <v>1529</v>
      </c>
      <c r="C2325" s="2">
        <v>4099854065590</v>
      </c>
      <c r="D2325" s="118"/>
      <c r="E2325" s="132"/>
      <c r="G2325" s="156" t="str">
        <f>HYPERLINK("https://ledvance.com/pt/product-datasheet/251570/238082","Ficha Técnica")</f>
        <v>Ficha Técnica</v>
      </c>
      <c r="H2325" s="15">
        <v>10</v>
      </c>
      <c r="I2325" s="163">
        <v>470</v>
      </c>
      <c r="J2325" s="15" t="s">
        <v>1885</v>
      </c>
      <c r="K2325" s="163" t="s">
        <v>46</v>
      </c>
      <c r="L2325" s="15">
        <v>5</v>
      </c>
      <c r="M2325" s="193">
        <v>12.5</v>
      </c>
      <c r="N2325" s="173" t="s">
        <v>571</v>
      </c>
    </row>
    <row r="2326" spans="1:14" x14ac:dyDescent="0.25">
      <c r="A2326" s="63" t="s">
        <v>570</v>
      </c>
      <c r="B2326" s="71" t="s">
        <v>1530</v>
      </c>
      <c r="C2326" s="2">
        <v>4099854065828</v>
      </c>
      <c r="D2326" s="118"/>
      <c r="E2326" s="132"/>
      <c r="G2326" s="156" t="str">
        <f>HYPERLINK("https://ledvance.com/pt/product-datasheet/251571/238085","Ficha Técnica")</f>
        <v>Ficha Técnica</v>
      </c>
      <c r="H2326" s="15">
        <v>10</v>
      </c>
      <c r="I2326" s="163">
        <v>470</v>
      </c>
      <c r="J2326" s="15" t="s">
        <v>1885</v>
      </c>
      <c r="K2326" s="163" t="s">
        <v>46</v>
      </c>
      <c r="L2326" s="15">
        <v>5</v>
      </c>
      <c r="M2326" s="193">
        <v>9.9</v>
      </c>
      <c r="N2326" s="173" t="s">
        <v>571</v>
      </c>
    </row>
    <row r="2327" spans="1:14" x14ac:dyDescent="0.25">
      <c r="A2327" s="63" t="s">
        <v>570</v>
      </c>
      <c r="B2327" s="71" t="s">
        <v>1531</v>
      </c>
      <c r="C2327" s="2">
        <v>4099854065613</v>
      </c>
      <c r="D2327" s="118"/>
      <c r="E2327" s="132"/>
      <c r="G2327" s="156" t="str">
        <f>HYPERLINK("https://ledvance.com/pt/product-datasheet/251570/238088","Ficha Técnica")</f>
        <v>Ficha Técnica</v>
      </c>
      <c r="H2327" s="15">
        <v>10</v>
      </c>
      <c r="I2327" s="163">
        <v>470</v>
      </c>
      <c r="J2327" s="15" t="s">
        <v>1885</v>
      </c>
      <c r="K2327" s="163" t="s">
        <v>46</v>
      </c>
      <c r="L2327" s="15">
        <v>5</v>
      </c>
      <c r="M2327" s="193">
        <v>12.8</v>
      </c>
      <c r="N2327" s="173" t="s">
        <v>571</v>
      </c>
    </row>
    <row r="2328" spans="1:14" x14ac:dyDescent="0.25">
      <c r="A2328" s="63" t="s">
        <v>570</v>
      </c>
      <c r="B2328" s="71" t="s">
        <v>1532</v>
      </c>
      <c r="C2328" s="2">
        <v>4099854065330</v>
      </c>
      <c r="D2328" s="118"/>
      <c r="E2328" s="132"/>
      <c r="G2328" s="156" t="str">
        <f>HYPERLINK("https://ledvance.com/pt/product-datasheet/251567/238055","Ficha Técnica")</f>
        <v>Ficha Técnica</v>
      </c>
      <c r="H2328" s="15">
        <v>10</v>
      </c>
      <c r="I2328" s="163">
        <v>470</v>
      </c>
      <c r="J2328" s="15" t="s">
        <v>1885</v>
      </c>
      <c r="K2328" s="163" t="s">
        <v>46</v>
      </c>
      <c r="L2328" s="15">
        <v>5</v>
      </c>
      <c r="M2328" s="193">
        <v>10.6</v>
      </c>
      <c r="N2328" s="173" t="s">
        <v>571</v>
      </c>
    </row>
    <row r="2329" spans="1:14" x14ac:dyDescent="0.25">
      <c r="A2329" s="63" t="s">
        <v>570</v>
      </c>
      <c r="B2329" s="71" t="s">
        <v>1533</v>
      </c>
      <c r="C2329" s="2">
        <v>4099854065378</v>
      </c>
      <c r="D2329" s="118"/>
      <c r="E2329" s="132"/>
      <c r="G2329" s="156" t="str">
        <f>HYPERLINK("https://ledvance.com/pt/product-datasheet/251567/238067","Ficha Técnica")</f>
        <v>Ficha Técnica</v>
      </c>
      <c r="H2329" s="15">
        <v>10</v>
      </c>
      <c r="I2329" s="163">
        <v>470</v>
      </c>
      <c r="J2329" s="15" t="s">
        <v>1885</v>
      </c>
      <c r="K2329" s="163" t="s">
        <v>46</v>
      </c>
      <c r="L2329" s="15">
        <v>5</v>
      </c>
      <c r="M2329" s="193">
        <v>10.9</v>
      </c>
      <c r="N2329" s="173" t="s">
        <v>571</v>
      </c>
    </row>
    <row r="2330" spans="1:14" x14ac:dyDescent="0.25">
      <c r="A2330" s="63" t="s">
        <v>570</v>
      </c>
      <c r="B2330" s="71" t="s">
        <v>1534</v>
      </c>
      <c r="C2330" s="2">
        <v>4099854077968</v>
      </c>
      <c r="D2330" s="118"/>
      <c r="E2330" s="132"/>
      <c r="G2330" s="156" t="str">
        <f>HYPERLINK("https://ledvance.com/pt/product-datasheet/251571/241391","Ficha Técnica")</f>
        <v>Ficha Técnica</v>
      </c>
      <c r="H2330" s="15">
        <v>10</v>
      </c>
      <c r="I2330" s="163">
        <v>470</v>
      </c>
      <c r="J2330" s="15" t="s">
        <v>1885</v>
      </c>
      <c r="K2330" s="163" t="s">
        <v>46</v>
      </c>
      <c r="L2330" s="15">
        <v>5</v>
      </c>
      <c r="M2330" s="193">
        <v>8.6999999999999993</v>
      </c>
      <c r="N2330" s="173" t="s">
        <v>571</v>
      </c>
    </row>
    <row r="2331" spans="1:14" x14ac:dyDescent="0.25">
      <c r="A2331" s="66" t="s">
        <v>570</v>
      </c>
      <c r="B2331" s="73" t="s">
        <v>1334</v>
      </c>
      <c r="C2331" s="51"/>
      <c r="D2331" s="65"/>
      <c r="E2331" s="86"/>
      <c r="F2331" s="12"/>
      <c r="G2331" s="157"/>
      <c r="H2331" s="12"/>
      <c r="I2331" s="62"/>
      <c r="J2331" s="27"/>
      <c r="K2331" s="62"/>
      <c r="L2331" s="12"/>
      <c r="M2331" s="191"/>
      <c r="N2331" s="130"/>
    </row>
    <row r="2332" spans="1:14" x14ac:dyDescent="0.25">
      <c r="A2332" s="63" t="s">
        <v>570</v>
      </c>
      <c r="B2332" s="71" t="s">
        <v>3782</v>
      </c>
      <c r="C2332" s="2">
        <v>4099854265266</v>
      </c>
      <c r="D2332" s="93"/>
      <c r="E2332" s="61"/>
      <c r="G2332" s="156" t="str">
        <f>HYPERLINK("https://ledvance.com/pt/product-datasheet/303803/292598","Ficha Técnica")</f>
        <v>Ficha Técnica</v>
      </c>
      <c r="H2332" s="15">
        <v>10</v>
      </c>
      <c r="I2332" s="163">
        <v>470</v>
      </c>
      <c r="J2332" s="15" t="s">
        <v>1886</v>
      </c>
      <c r="K2332" s="163" t="s">
        <v>46</v>
      </c>
      <c r="L2332" s="15">
        <v>5</v>
      </c>
      <c r="M2332" s="193">
        <v>19.3</v>
      </c>
      <c r="N2332" s="173" t="s">
        <v>571</v>
      </c>
    </row>
    <row r="2333" spans="1:14" x14ac:dyDescent="0.25">
      <c r="A2333" s="63" t="s">
        <v>570</v>
      </c>
      <c r="B2333" s="71" t="s">
        <v>3783</v>
      </c>
      <c r="C2333" s="2">
        <v>4099854265280</v>
      </c>
      <c r="D2333" s="93"/>
      <c r="E2333" s="61"/>
      <c r="G2333" s="156" t="str">
        <f>HYPERLINK("https://ledvance.com/pt/product-datasheet/303803/292604","Ficha Técnica")</f>
        <v>Ficha Técnica</v>
      </c>
      <c r="H2333" s="15">
        <v>10</v>
      </c>
      <c r="I2333" s="163">
        <v>470</v>
      </c>
      <c r="J2333" s="15" t="s">
        <v>1886</v>
      </c>
      <c r="K2333" s="163" t="s">
        <v>46</v>
      </c>
      <c r="L2333" s="15">
        <v>5</v>
      </c>
      <c r="M2333" s="193">
        <v>19.3</v>
      </c>
      <c r="N2333" s="173" t="s">
        <v>571</v>
      </c>
    </row>
    <row r="2334" spans="1:14" x14ac:dyDescent="0.25">
      <c r="A2334" s="63" t="s">
        <v>570</v>
      </c>
      <c r="B2334" s="71" t="s">
        <v>3784</v>
      </c>
      <c r="C2334" s="2">
        <v>4099854265303</v>
      </c>
      <c r="D2334" s="93"/>
      <c r="E2334" s="61"/>
      <c r="G2334" s="156" t="str">
        <f>HYPERLINK("https://ledvance.com/pt/product-datasheet/303803/292616","Ficha Técnica")</f>
        <v>Ficha Técnica</v>
      </c>
      <c r="H2334" s="15">
        <v>10</v>
      </c>
      <c r="I2334" s="163">
        <v>806</v>
      </c>
      <c r="J2334" s="15" t="s">
        <v>1887</v>
      </c>
      <c r="K2334" s="163" t="s">
        <v>46</v>
      </c>
      <c r="L2334" s="15">
        <v>5</v>
      </c>
      <c r="M2334" s="193">
        <v>20.8</v>
      </c>
      <c r="N2334" s="173" t="s">
        <v>571</v>
      </c>
    </row>
    <row r="2335" spans="1:14" x14ac:dyDescent="0.25">
      <c r="A2335" s="63" t="s">
        <v>570</v>
      </c>
      <c r="B2335" s="71" t="s">
        <v>3785</v>
      </c>
      <c r="C2335" s="2">
        <v>4099854265327</v>
      </c>
      <c r="D2335" s="93"/>
      <c r="E2335" s="61"/>
      <c r="G2335" s="156" t="str">
        <f>HYPERLINK("https://ledvance.com/pt/product-datasheet/303803/292622","Ficha Técnica")</f>
        <v>Ficha Técnica</v>
      </c>
      <c r="H2335" s="15">
        <v>10</v>
      </c>
      <c r="I2335" s="163">
        <v>806</v>
      </c>
      <c r="J2335" s="15" t="s">
        <v>1887</v>
      </c>
      <c r="K2335" s="163" t="s">
        <v>46</v>
      </c>
      <c r="L2335" s="15">
        <v>5</v>
      </c>
      <c r="M2335" s="193">
        <v>20.8</v>
      </c>
      <c r="N2335" s="173" t="s">
        <v>571</v>
      </c>
    </row>
    <row r="2336" spans="1:14" x14ac:dyDescent="0.25">
      <c r="A2336" s="66" t="s">
        <v>570</v>
      </c>
      <c r="B2336" s="73" t="s">
        <v>1469</v>
      </c>
      <c r="C2336" s="52"/>
      <c r="D2336" s="65"/>
      <c r="E2336" s="92"/>
      <c r="F2336" s="12"/>
      <c r="G2336" s="157"/>
      <c r="H2336" s="12"/>
      <c r="I2336" s="62"/>
      <c r="J2336" s="27"/>
      <c r="K2336" s="62"/>
      <c r="L2336" s="12"/>
      <c r="M2336" s="191"/>
      <c r="N2336" s="130"/>
    </row>
    <row r="2337" spans="1:14" x14ac:dyDescent="0.25">
      <c r="A2337" s="63" t="s">
        <v>570</v>
      </c>
      <c r="B2337" s="71" t="s">
        <v>3786</v>
      </c>
      <c r="C2337" s="2">
        <v>4099854236532</v>
      </c>
      <c r="D2337" s="95">
        <v>4099854059995</v>
      </c>
      <c r="E2337" s="96" t="s">
        <v>1325</v>
      </c>
      <c r="G2337" s="156" t="str">
        <f>HYPERLINK("https://ledvance.com/pt/product-datasheet/251530/285390","Ficha Técnica")</f>
        <v>Ficha Técnica</v>
      </c>
      <c r="H2337" s="15">
        <v>6</v>
      </c>
      <c r="I2337" s="163">
        <v>470</v>
      </c>
      <c r="J2337" s="15" t="s">
        <v>1886</v>
      </c>
      <c r="K2337" s="163" t="s">
        <v>46</v>
      </c>
      <c r="L2337" s="15">
        <v>5</v>
      </c>
      <c r="M2337" s="193">
        <v>13.4</v>
      </c>
      <c r="N2337" s="173" t="s">
        <v>571</v>
      </c>
    </row>
    <row r="2338" spans="1:14" x14ac:dyDescent="0.25">
      <c r="A2338" s="63" t="s">
        <v>570</v>
      </c>
      <c r="B2338" s="71" t="s">
        <v>3787</v>
      </c>
      <c r="C2338" s="2">
        <v>4099854259517</v>
      </c>
      <c r="D2338" s="93"/>
      <c r="E2338" s="61"/>
      <c r="G2338" s="156" t="str">
        <f>HYPERLINK("https://ledvance.com/pt/product-datasheet/251530/291524","Ficha Técnica")</f>
        <v>Ficha Técnica</v>
      </c>
      <c r="H2338" s="15">
        <v>10</v>
      </c>
      <c r="I2338" s="163">
        <v>470</v>
      </c>
      <c r="J2338" s="15" t="s">
        <v>1886</v>
      </c>
      <c r="K2338" s="163" t="s">
        <v>46</v>
      </c>
      <c r="L2338" s="15">
        <v>5</v>
      </c>
      <c r="M2338" s="193">
        <v>13.5</v>
      </c>
      <c r="N2338" s="173" t="s">
        <v>571</v>
      </c>
    </row>
    <row r="2339" spans="1:14" x14ac:dyDescent="0.25">
      <c r="A2339" s="63" t="s">
        <v>570</v>
      </c>
      <c r="B2339" s="71" t="s">
        <v>3788</v>
      </c>
      <c r="C2339" s="2">
        <v>4099854236556</v>
      </c>
      <c r="D2339" s="95">
        <v>4099854060090</v>
      </c>
      <c r="E2339" s="96" t="s">
        <v>1327</v>
      </c>
      <c r="G2339" s="156" t="str">
        <f>HYPERLINK("https://ledvance.com/pt/product-datasheet/251530/285436","Ficha Técnica")</f>
        <v>Ficha Técnica</v>
      </c>
      <c r="H2339" s="15">
        <v>6</v>
      </c>
      <c r="I2339" s="163">
        <v>470</v>
      </c>
      <c r="J2339" s="15" t="s">
        <v>1886</v>
      </c>
      <c r="K2339" s="163" t="s">
        <v>46</v>
      </c>
      <c r="L2339" s="15">
        <v>5</v>
      </c>
      <c r="M2339" s="193">
        <v>13.4</v>
      </c>
      <c r="N2339" s="173" t="s">
        <v>571</v>
      </c>
    </row>
    <row r="2340" spans="1:14" x14ac:dyDescent="0.25">
      <c r="A2340" s="63" t="s">
        <v>570</v>
      </c>
      <c r="B2340" s="71" t="s">
        <v>3789</v>
      </c>
      <c r="C2340" s="2">
        <v>4099854259548</v>
      </c>
      <c r="D2340" s="93"/>
      <c r="E2340" s="61"/>
      <c r="G2340" s="156" t="str">
        <f>HYPERLINK("https://ledvance.com/pt/product-datasheet/251530/291556","Ficha Técnica")</f>
        <v>Ficha Técnica</v>
      </c>
      <c r="H2340" s="15">
        <v>10</v>
      </c>
      <c r="I2340" s="163">
        <v>470</v>
      </c>
      <c r="J2340" s="15" t="s">
        <v>1886</v>
      </c>
      <c r="K2340" s="163" t="s">
        <v>46</v>
      </c>
      <c r="L2340" s="15">
        <v>5</v>
      </c>
      <c r="M2340" s="193">
        <v>13.5</v>
      </c>
      <c r="N2340" s="173" t="s">
        <v>571</v>
      </c>
    </row>
    <row r="2341" spans="1:14" x14ac:dyDescent="0.25">
      <c r="A2341" s="63" t="s">
        <v>570</v>
      </c>
      <c r="B2341" s="71" t="s">
        <v>3790</v>
      </c>
      <c r="C2341" s="2">
        <v>4099854236570</v>
      </c>
      <c r="D2341" s="95">
        <v>4099854059957</v>
      </c>
      <c r="E2341" s="96" t="s">
        <v>1324</v>
      </c>
      <c r="G2341" s="156" t="str">
        <f>HYPERLINK("https://ledvance.com/pt/product-datasheet/251530/285396","Ficha Técnica")</f>
        <v>Ficha Técnica</v>
      </c>
      <c r="H2341" s="15">
        <v>6</v>
      </c>
      <c r="I2341" s="163">
        <v>806</v>
      </c>
      <c r="J2341" s="15" t="s">
        <v>1887</v>
      </c>
      <c r="K2341" s="163" t="s">
        <v>46</v>
      </c>
      <c r="L2341" s="15">
        <v>5</v>
      </c>
      <c r="M2341" s="193">
        <v>15.4</v>
      </c>
      <c r="N2341" s="173" t="s">
        <v>571</v>
      </c>
    </row>
    <row r="2342" spans="1:14" x14ac:dyDescent="0.25">
      <c r="A2342" s="63" t="s">
        <v>570</v>
      </c>
      <c r="B2342" s="71" t="s">
        <v>3791</v>
      </c>
      <c r="C2342" s="2">
        <v>4099854259586</v>
      </c>
      <c r="D2342" s="93"/>
      <c r="E2342" s="61"/>
      <c r="G2342" s="156" t="str">
        <f>HYPERLINK("https://ledvance.com/pt/product-datasheet/251530/291530","Ficha Técnica")</f>
        <v>Ficha Técnica</v>
      </c>
      <c r="H2342" s="15">
        <v>10</v>
      </c>
      <c r="I2342" s="163">
        <v>806</v>
      </c>
      <c r="J2342" s="15" t="s">
        <v>1887</v>
      </c>
      <c r="K2342" s="163" t="s">
        <v>46</v>
      </c>
      <c r="L2342" s="15">
        <v>5</v>
      </c>
      <c r="M2342" s="193">
        <v>15.4</v>
      </c>
      <c r="N2342" s="173" t="s">
        <v>571</v>
      </c>
    </row>
    <row r="2343" spans="1:14" x14ac:dyDescent="0.25">
      <c r="A2343" s="63" t="s">
        <v>570</v>
      </c>
      <c r="B2343" s="71" t="s">
        <v>3792</v>
      </c>
      <c r="C2343" s="2">
        <v>4099854236594</v>
      </c>
      <c r="D2343" s="95">
        <v>4099854060052</v>
      </c>
      <c r="E2343" s="96" t="s">
        <v>1326</v>
      </c>
      <c r="G2343" s="156" t="str">
        <f>HYPERLINK("https://ledvance.com/pt/product-datasheet/251530/285442","Ficha Técnica")</f>
        <v>Ficha Técnica</v>
      </c>
      <c r="H2343" s="15">
        <v>6</v>
      </c>
      <c r="I2343" s="163">
        <v>806</v>
      </c>
      <c r="J2343" s="15" t="s">
        <v>1887</v>
      </c>
      <c r="K2343" s="163" t="s">
        <v>46</v>
      </c>
      <c r="L2343" s="15">
        <v>5</v>
      </c>
      <c r="M2343" s="193">
        <v>15.4</v>
      </c>
      <c r="N2343" s="173" t="s">
        <v>571</v>
      </c>
    </row>
    <row r="2344" spans="1:14" x14ac:dyDescent="0.25">
      <c r="A2344" s="63" t="s">
        <v>570</v>
      </c>
      <c r="B2344" s="71" t="s">
        <v>3793</v>
      </c>
      <c r="C2344" s="2">
        <v>4099854259616</v>
      </c>
      <c r="D2344" s="93"/>
      <c r="E2344" s="61"/>
      <c r="G2344" s="156" t="str">
        <f>HYPERLINK("https://ledvance.com/pt/product-datasheet/251530/291562","Ficha Técnica")</f>
        <v>Ficha Técnica</v>
      </c>
      <c r="H2344" s="15">
        <v>10</v>
      </c>
      <c r="I2344" s="163">
        <v>806</v>
      </c>
      <c r="J2344" s="15" t="s">
        <v>1887</v>
      </c>
      <c r="K2344" s="163" t="s">
        <v>46</v>
      </c>
      <c r="L2344" s="15">
        <v>5</v>
      </c>
      <c r="M2344" s="193">
        <v>15.4</v>
      </c>
      <c r="N2344" s="173" t="s">
        <v>571</v>
      </c>
    </row>
    <row r="2345" spans="1:14" x14ac:dyDescent="0.25">
      <c r="A2345" s="63" t="s">
        <v>570</v>
      </c>
      <c r="B2345" s="71" t="s">
        <v>3794</v>
      </c>
      <c r="C2345" s="2">
        <v>4099854236617</v>
      </c>
      <c r="D2345" s="95">
        <v>4099854060113</v>
      </c>
      <c r="E2345" s="96" t="s">
        <v>607</v>
      </c>
      <c r="G2345" s="156" t="str">
        <f>HYPERLINK("https://ledvance.com/pt/product-datasheet/251530/285482","Ficha Técnica")</f>
        <v>Ficha Técnica</v>
      </c>
      <c r="H2345" s="15">
        <v>6</v>
      </c>
      <c r="I2345" s="163">
        <v>1055</v>
      </c>
      <c r="J2345" s="15">
        <v>5</v>
      </c>
      <c r="K2345" s="163" t="s">
        <v>46</v>
      </c>
      <c r="L2345" s="15">
        <v>5</v>
      </c>
      <c r="M2345" s="193">
        <v>19.2</v>
      </c>
      <c r="N2345" s="173" t="s">
        <v>571</v>
      </c>
    </row>
    <row r="2346" spans="1:14" x14ac:dyDescent="0.25">
      <c r="A2346" s="63" t="s">
        <v>570</v>
      </c>
      <c r="B2346" s="71" t="s">
        <v>3795</v>
      </c>
      <c r="C2346" s="2">
        <v>4099854259654</v>
      </c>
      <c r="D2346" s="93"/>
      <c r="E2346" s="61"/>
      <c r="G2346" s="156" t="str">
        <f>HYPERLINK("https://ledvance.com/pt/product-datasheet/251530/291542","Ficha Técnica")</f>
        <v>Ficha Técnica</v>
      </c>
      <c r="H2346" s="15">
        <v>10</v>
      </c>
      <c r="I2346" s="163">
        <v>1055</v>
      </c>
      <c r="J2346" s="15">
        <v>5</v>
      </c>
      <c r="K2346" s="163" t="s">
        <v>46</v>
      </c>
      <c r="L2346" s="15">
        <v>5</v>
      </c>
      <c r="M2346" s="193">
        <v>19.2</v>
      </c>
      <c r="N2346" s="173" t="s">
        <v>571</v>
      </c>
    </row>
    <row r="2347" spans="1:14" x14ac:dyDescent="0.25">
      <c r="A2347" s="63" t="s">
        <v>570</v>
      </c>
      <c r="B2347" s="71" t="s">
        <v>3796</v>
      </c>
      <c r="C2347" s="2">
        <v>4099854236631</v>
      </c>
      <c r="D2347" s="95">
        <v>4099854060151</v>
      </c>
      <c r="E2347" s="96" t="s">
        <v>608</v>
      </c>
      <c r="G2347" s="156" t="str">
        <f>HYPERLINK("https://ledvance.com/pt/product-datasheet/251530/285465","Ficha Técnica")</f>
        <v>Ficha Técnica</v>
      </c>
      <c r="H2347" s="15">
        <v>6</v>
      </c>
      <c r="I2347" s="163">
        <v>1055</v>
      </c>
      <c r="J2347" s="15">
        <v>5</v>
      </c>
      <c r="K2347" s="163" t="s">
        <v>46</v>
      </c>
      <c r="L2347" s="15">
        <v>5</v>
      </c>
      <c r="M2347" s="193">
        <v>19.2</v>
      </c>
      <c r="N2347" s="173" t="s">
        <v>571</v>
      </c>
    </row>
    <row r="2348" spans="1:14" x14ac:dyDescent="0.25">
      <c r="A2348" s="63" t="s">
        <v>570</v>
      </c>
      <c r="B2348" s="71" t="s">
        <v>3797</v>
      </c>
      <c r="C2348" s="2">
        <v>4099854259630</v>
      </c>
      <c r="D2348" s="93"/>
      <c r="E2348" s="61"/>
      <c r="G2348" s="156" t="str">
        <f>HYPERLINK("https://ledvance.com/pt/product-datasheet/251530/291568","Ficha Técnica")</f>
        <v>Ficha Técnica</v>
      </c>
      <c r="H2348" s="15">
        <v>10</v>
      </c>
      <c r="I2348" s="163">
        <v>1055</v>
      </c>
      <c r="J2348" s="15">
        <v>5</v>
      </c>
      <c r="K2348" s="163" t="s">
        <v>46</v>
      </c>
      <c r="L2348" s="15">
        <v>5</v>
      </c>
      <c r="M2348" s="193">
        <v>19.2</v>
      </c>
      <c r="N2348" s="173" t="s">
        <v>571</v>
      </c>
    </row>
    <row r="2349" spans="1:14" x14ac:dyDescent="0.25">
      <c r="A2349" s="63" t="s">
        <v>570</v>
      </c>
      <c r="B2349" s="71" t="s">
        <v>3798</v>
      </c>
      <c r="C2349" s="2">
        <v>4099854236655</v>
      </c>
      <c r="D2349" s="95">
        <v>4099854060199</v>
      </c>
      <c r="E2349" s="96" t="s">
        <v>1328</v>
      </c>
      <c r="G2349" s="156" t="str">
        <f>HYPERLINK("https://ledvance.com/pt/product-datasheet/251530/285488","Ficha Técnica")</f>
        <v>Ficha Técnica</v>
      </c>
      <c r="H2349" s="15">
        <v>6</v>
      </c>
      <c r="I2349" s="163">
        <v>1521</v>
      </c>
      <c r="J2349" s="15" t="s">
        <v>1883</v>
      </c>
      <c r="K2349" s="163" t="s">
        <v>46</v>
      </c>
      <c r="L2349" s="15">
        <v>5</v>
      </c>
      <c r="M2349" s="193">
        <v>24.9</v>
      </c>
      <c r="N2349" s="173" t="s">
        <v>571</v>
      </c>
    </row>
    <row r="2350" spans="1:14" x14ac:dyDescent="0.25">
      <c r="A2350" s="63" t="s">
        <v>570</v>
      </c>
      <c r="B2350" s="71" t="s">
        <v>3799</v>
      </c>
      <c r="C2350" s="2">
        <v>4099854259678</v>
      </c>
      <c r="D2350" s="93"/>
      <c r="E2350" s="61"/>
      <c r="G2350" s="156" t="str">
        <f>HYPERLINK("https://ledvance.com/pt/product-datasheet/251530/291536","Ficha Técnica")</f>
        <v>Ficha Técnica</v>
      </c>
      <c r="H2350" s="15">
        <v>10</v>
      </c>
      <c r="I2350" s="163">
        <v>1521</v>
      </c>
      <c r="J2350" s="15" t="s">
        <v>1883</v>
      </c>
      <c r="K2350" s="163" t="s">
        <v>46</v>
      </c>
      <c r="L2350" s="15">
        <v>5</v>
      </c>
      <c r="M2350" s="193">
        <v>24.9</v>
      </c>
      <c r="N2350" s="173" t="s">
        <v>571</v>
      </c>
    </row>
    <row r="2351" spans="1:14" x14ac:dyDescent="0.25">
      <c r="A2351" s="63" t="s">
        <v>570</v>
      </c>
      <c r="B2351" s="71" t="s">
        <v>3800</v>
      </c>
      <c r="C2351" s="2">
        <v>4099854236730</v>
      </c>
      <c r="D2351" s="95">
        <v>4099854060212</v>
      </c>
      <c r="E2351" s="96" t="s">
        <v>1329</v>
      </c>
      <c r="G2351" s="156" t="str">
        <f>HYPERLINK("https://ledvance.com/pt/product-datasheet/251530/285476","Ficha Técnica")</f>
        <v>Ficha Técnica</v>
      </c>
      <c r="H2351" s="15">
        <v>6</v>
      </c>
      <c r="I2351" s="163">
        <v>1521</v>
      </c>
      <c r="J2351" s="15" t="s">
        <v>1883</v>
      </c>
      <c r="K2351" s="163" t="s">
        <v>46</v>
      </c>
      <c r="L2351" s="15">
        <v>5</v>
      </c>
      <c r="M2351" s="193">
        <v>24.9</v>
      </c>
      <c r="N2351" s="173" t="s">
        <v>571</v>
      </c>
    </row>
    <row r="2352" spans="1:14" x14ac:dyDescent="0.25">
      <c r="A2352" s="63" t="s">
        <v>570</v>
      </c>
      <c r="B2352" s="71" t="s">
        <v>3801</v>
      </c>
      <c r="C2352" s="2">
        <v>4099854259692</v>
      </c>
      <c r="D2352" s="93"/>
      <c r="E2352" s="61"/>
      <c r="G2352" s="156" t="str">
        <f>HYPERLINK("https://ledvance.com/pt/product-datasheet/251530/291548","Ficha Técnica")</f>
        <v>Ficha Técnica</v>
      </c>
      <c r="H2352" s="15">
        <v>10</v>
      </c>
      <c r="I2352" s="163">
        <v>1521</v>
      </c>
      <c r="J2352" s="15" t="s">
        <v>1883</v>
      </c>
      <c r="K2352" s="163" t="s">
        <v>46</v>
      </c>
      <c r="L2352" s="15">
        <v>5</v>
      </c>
      <c r="M2352" s="193">
        <v>24.9</v>
      </c>
      <c r="N2352" s="173" t="s">
        <v>571</v>
      </c>
    </row>
    <row r="2353" spans="1:14" x14ac:dyDescent="0.25">
      <c r="A2353" s="63" t="s">
        <v>570</v>
      </c>
      <c r="B2353" s="71" t="s">
        <v>3802</v>
      </c>
      <c r="C2353" s="2">
        <v>4099854282195</v>
      </c>
      <c r="D2353" s="93"/>
      <c r="E2353" s="61"/>
      <c r="G2353" s="156" t="str">
        <f>HYPERLINK("https://ledvance.com/pt/product-datasheet/251530/298399","Ficha Técnica")</f>
        <v>Ficha Técnica</v>
      </c>
      <c r="H2353" s="15">
        <v>10</v>
      </c>
      <c r="I2353" s="163">
        <v>2452</v>
      </c>
      <c r="J2353" s="15" t="s">
        <v>3978</v>
      </c>
      <c r="K2353" s="163" t="s">
        <v>46</v>
      </c>
      <c r="L2353" s="15">
        <v>5</v>
      </c>
      <c r="M2353" s="193">
        <v>26.3</v>
      </c>
      <c r="N2353" s="173" t="s">
        <v>571</v>
      </c>
    </row>
    <row r="2354" spans="1:14" x14ac:dyDescent="0.25">
      <c r="A2354" s="63" t="s">
        <v>570</v>
      </c>
      <c r="B2354" s="71" t="s">
        <v>3803</v>
      </c>
      <c r="C2354" s="2">
        <v>4099854282218</v>
      </c>
      <c r="D2354" s="93"/>
      <c r="E2354" s="61"/>
      <c r="G2354" s="156" t="str">
        <f>HYPERLINK("https://ledvance.com/pt/product-datasheet/251530/298405","Ficha Técnica")</f>
        <v>Ficha Técnica</v>
      </c>
      <c r="H2354" s="15">
        <v>10</v>
      </c>
      <c r="I2354" s="163">
        <v>2452</v>
      </c>
      <c r="J2354" s="15" t="s">
        <v>3978</v>
      </c>
      <c r="K2354" s="163" t="s">
        <v>46</v>
      </c>
      <c r="L2354" s="15">
        <v>5</v>
      </c>
      <c r="M2354" s="193">
        <v>26.3</v>
      </c>
      <c r="N2354" s="173" t="s">
        <v>571</v>
      </c>
    </row>
    <row r="2355" spans="1:14" x14ac:dyDescent="0.25">
      <c r="A2355" s="66" t="s">
        <v>570</v>
      </c>
      <c r="B2355" s="73" t="s">
        <v>1571</v>
      </c>
      <c r="C2355" s="52"/>
      <c r="D2355" s="65"/>
      <c r="E2355" s="92"/>
      <c r="F2355" s="12"/>
      <c r="G2355" s="157"/>
      <c r="H2355" s="12"/>
      <c r="I2355" s="62"/>
      <c r="J2355" s="27"/>
      <c r="K2355" s="62"/>
      <c r="L2355" s="12"/>
      <c r="M2355" s="191"/>
      <c r="N2355" s="130"/>
    </row>
    <row r="2356" spans="1:14" x14ac:dyDescent="0.25">
      <c r="A2356" s="63" t="s">
        <v>570</v>
      </c>
      <c r="B2356" s="71" t="s">
        <v>3804</v>
      </c>
      <c r="C2356" s="2">
        <v>4099854236990</v>
      </c>
      <c r="D2356" s="95">
        <v>4099854060250</v>
      </c>
      <c r="E2356" s="96" t="s">
        <v>1330</v>
      </c>
      <c r="G2356" s="156" t="str">
        <f>HYPERLINK("https://ledvance.com/pt/product-datasheet/251535/285413","Ficha Técnica")</f>
        <v>Ficha Técnica</v>
      </c>
      <c r="H2356" s="15">
        <v>6</v>
      </c>
      <c r="I2356" s="163">
        <v>806</v>
      </c>
      <c r="J2356" s="15" t="s">
        <v>1887</v>
      </c>
      <c r="K2356" s="163" t="s">
        <v>46</v>
      </c>
      <c r="L2356" s="15">
        <v>5</v>
      </c>
      <c r="M2356" s="193">
        <v>20</v>
      </c>
      <c r="N2356" s="173" t="s">
        <v>571</v>
      </c>
    </row>
    <row r="2357" spans="1:14" x14ac:dyDescent="0.25">
      <c r="A2357" s="63" t="s">
        <v>570</v>
      </c>
      <c r="B2357" s="71" t="s">
        <v>3805</v>
      </c>
      <c r="C2357" s="2">
        <v>4099854246616</v>
      </c>
      <c r="D2357" s="95"/>
      <c r="E2357" s="61"/>
      <c r="G2357" s="156" t="str">
        <f>HYPERLINK("https://ledvance.com/pt/product-datasheet/251535/288348","Ficha Técnica")</f>
        <v>Ficha Técnica</v>
      </c>
      <c r="H2357" s="15">
        <v>10</v>
      </c>
      <c r="I2357" s="163">
        <v>806</v>
      </c>
      <c r="J2357" s="15" t="s">
        <v>3979</v>
      </c>
      <c r="K2357" s="163" t="s">
        <v>46</v>
      </c>
      <c r="L2357" s="15">
        <v>5</v>
      </c>
      <c r="M2357" s="193">
        <v>22</v>
      </c>
      <c r="N2357" s="173" t="s">
        <v>571</v>
      </c>
    </row>
    <row r="2358" spans="1:14" x14ac:dyDescent="0.25">
      <c r="A2358" s="63" t="s">
        <v>570</v>
      </c>
      <c r="B2358" s="71" t="s">
        <v>3806</v>
      </c>
      <c r="C2358" s="2">
        <v>4099854237010</v>
      </c>
      <c r="D2358" s="95">
        <v>4099854060274</v>
      </c>
      <c r="E2358" s="96" t="s">
        <v>1331</v>
      </c>
      <c r="G2358" s="156" t="str">
        <f>HYPERLINK("https://ledvance.com/pt/product-datasheet/251535/285459","Ficha Técnica")</f>
        <v>Ficha Técnica</v>
      </c>
      <c r="H2358" s="15">
        <v>6</v>
      </c>
      <c r="I2358" s="163">
        <v>806</v>
      </c>
      <c r="J2358" s="15" t="s">
        <v>1887</v>
      </c>
      <c r="K2358" s="163" t="s">
        <v>46</v>
      </c>
      <c r="L2358" s="15">
        <v>5</v>
      </c>
      <c r="M2358" s="193">
        <v>20</v>
      </c>
      <c r="N2358" s="173" t="s">
        <v>571</v>
      </c>
    </row>
    <row r="2359" spans="1:14" x14ac:dyDescent="0.25">
      <c r="A2359" s="63" t="s">
        <v>570</v>
      </c>
      <c r="B2359" s="71" t="s">
        <v>3807</v>
      </c>
      <c r="C2359" s="2">
        <v>4099854246593</v>
      </c>
      <c r="D2359" s="95"/>
      <c r="E2359" s="61"/>
      <c r="G2359" s="156" t="str">
        <f>HYPERLINK("https://ledvance.com/pt/product-datasheet/251535/288345","Ficha Técnica")</f>
        <v>Ficha Técnica</v>
      </c>
      <c r="H2359" s="15">
        <v>10</v>
      </c>
      <c r="I2359" s="163">
        <v>806</v>
      </c>
      <c r="J2359" s="15" t="s">
        <v>3979</v>
      </c>
      <c r="K2359" s="163" t="s">
        <v>46</v>
      </c>
      <c r="L2359" s="15">
        <v>5</v>
      </c>
      <c r="M2359" s="193">
        <v>20.5</v>
      </c>
      <c r="N2359" s="173" t="s">
        <v>571</v>
      </c>
    </row>
    <row r="2360" spans="1:14" x14ac:dyDescent="0.25">
      <c r="A2360" s="63" t="s">
        <v>570</v>
      </c>
      <c r="B2360" s="71" t="s">
        <v>3808</v>
      </c>
      <c r="C2360" s="2">
        <v>4099854280214</v>
      </c>
      <c r="D2360" s="93"/>
      <c r="E2360" s="94"/>
      <c r="G2360" s="156" t="str">
        <f>HYPERLINK("https://ledvance.com/pt/product-datasheet/251535/297905","Ficha Técnica")</f>
        <v>Ficha Técnica</v>
      </c>
      <c r="H2360" s="15">
        <v>10</v>
      </c>
      <c r="I2360" s="163">
        <v>1521</v>
      </c>
      <c r="J2360" s="15" t="s">
        <v>1883</v>
      </c>
      <c r="K2360" s="163" t="s">
        <v>46</v>
      </c>
      <c r="L2360" s="15">
        <v>5</v>
      </c>
      <c r="M2360" s="193">
        <v>22.7</v>
      </c>
      <c r="N2360" s="173" t="s">
        <v>571</v>
      </c>
    </row>
    <row r="2361" spans="1:14" x14ac:dyDescent="0.25">
      <c r="A2361" s="63" t="s">
        <v>570</v>
      </c>
      <c r="B2361" s="71" t="s">
        <v>3809</v>
      </c>
      <c r="C2361" s="2">
        <v>4099854280290</v>
      </c>
      <c r="D2361" s="93"/>
      <c r="E2361" s="94"/>
      <c r="G2361" s="156" t="str">
        <f>HYPERLINK("https://ledvance.com/pt/product-datasheet/251535/297908","Ficha Técnica")</f>
        <v>Ficha Técnica</v>
      </c>
      <c r="H2361" s="15">
        <v>10</v>
      </c>
      <c r="I2361" s="163">
        <v>1521</v>
      </c>
      <c r="J2361" s="15" t="s">
        <v>1883</v>
      </c>
      <c r="K2361" s="163" t="s">
        <v>46</v>
      </c>
      <c r="L2361" s="15">
        <v>5</v>
      </c>
      <c r="M2361" s="193">
        <v>22.7</v>
      </c>
      <c r="N2361" s="173" t="s">
        <v>571</v>
      </c>
    </row>
    <row r="2362" spans="1:14" x14ac:dyDescent="0.25">
      <c r="A2362" s="63" t="s">
        <v>570</v>
      </c>
      <c r="B2362" s="71" t="s">
        <v>3810</v>
      </c>
      <c r="C2362" s="2">
        <v>4099854280313</v>
      </c>
      <c r="D2362" s="93"/>
      <c r="E2362" s="94"/>
      <c r="G2362" s="156" t="str">
        <f>HYPERLINK("https://ledvance.com/pt/product-datasheet/251535/297911","Ficha Técnica")</f>
        <v>Ficha Técnica</v>
      </c>
      <c r="H2362" s="15">
        <v>10</v>
      </c>
      <c r="I2362" s="163">
        <v>1521</v>
      </c>
      <c r="J2362" s="15" t="s">
        <v>1883</v>
      </c>
      <c r="K2362" s="163" t="s">
        <v>46</v>
      </c>
      <c r="L2362" s="15">
        <v>5</v>
      </c>
      <c r="M2362" s="193">
        <v>22.7</v>
      </c>
      <c r="N2362" s="173" t="s">
        <v>571</v>
      </c>
    </row>
    <row r="2363" spans="1:14" x14ac:dyDescent="0.25">
      <c r="A2363" s="63" t="s">
        <v>570</v>
      </c>
      <c r="B2363" s="71" t="s">
        <v>3811</v>
      </c>
      <c r="C2363" s="2">
        <v>4099854280337</v>
      </c>
      <c r="D2363" s="93"/>
      <c r="E2363" s="94"/>
      <c r="G2363" s="156" t="str">
        <f>HYPERLINK("https://ledvance.com/pt/product-datasheet/251535/297893","Ficha Técnica")</f>
        <v>Ficha Técnica</v>
      </c>
      <c r="H2363" s="15">
        <v>10</v>
      </c>
      <c r="I2363" s="163">
        <v>2452</v>
      </c>
      <c r="J2363" s="15" t="s">
        <v>1868</v>
      </c>
      <c r="K2363" s="163" t="s">
        <v>46</v>
      </c>
      <c r="L2363" s="15">
        <v>5</v>
      </c>
      <c r="M2363" s="193">
        <v>29.3</v>
      </c>
      <c r="N2363" s="173" t="s">
        <v>571</v>
      </c>
    </row>
    <row r="2364" spans="1:14" x14ac:dyDescent="0.25">
      <c r="A2364" s="63" t="s">
        <v>570</v>
      </c>
      <c r="B2364" s="71" t="s">
        <v>3812</v>
      </c>
      <c r="C2364" s="2">
        <v>4099854237034</v>
      </c>
      <c r="D2364" s="95">
        <v>4099854060236</v>
      </c>
      <c r="E2364" s="96" t="s">
        <v>1341</v>
      </c>
      <c r="G2364" s="156" t="str">
        <f>HYPERLINK("https://ledvance.com/pt/product-datasheet/251533/285425","Ficha Técnica")</f>
        <v>Ficha Técnica</v>
      </c>
      <c r="H2364" s="15">
        <v>6</v>
      </c>
      <c r="I2364" s="163">
        <v>806</v>
      </c>
      <c r="J2364" s="15" t="s">
        <v>1887</v>
      </c>
      <c r="K2364" s="163" t="s">
        <v>46</v>
      </c>
      <c r="L2364" s="15">
        <v>5</v>
      </c>
      <c r="M2364" s="193">
        <v>19</v>
      </c>
      <c r="N2364" s="173" t="s">
        <v>571</v>
      </c>
    </row>
    <row r="2365" spans="1:14" x14ac:dyDescent="0.25">
      <c r="A2365" s="66" t="s">
        <v>570</v>
      </c>
      <c r="B2365" s="73" t="s">
        <v>1458</v>
      </c>
      <c r="C2365" s="52"/>
      <c r="D2365" s="65"/>
      <c r="E2365" s="92"/>
      <c r="F2365" s="12"/>
      <c r="G2365" s="157"/>
      <c r="H2365" s="12"/>
      <c r="I2365" s="62"/>
      <c r="J2365" s="27"/>
      <c r="K2365" s="62"/>
      <c r="L2365" s="12"/>
      <c r="M2365" s="191"/>
      <c r="N2365" s="130"/>
    </row>
    <row r="2366" spans="1:14" x14ac:dyDescent="0.25">
      <c r="A2366" s="63" t="s">
        <v>570</v>
      </c>
      <c r="B2366" s="71" t="s">
        <v>3813</v>
      </c>
      <c r="C2366" s="2">
        <v>4099854282652</v>
      </c>
      <c r="D2366" s="93"/>
      <c r="E2366" s="94"/>
      <c r="G2366" s="156" t="str">
        <f>HYPERLINK("https://ledvance.com/pt/product-datasheet/303792/298646","Ficha Técnica")</f>
        <v>Ficha Técnica</v>
      </c>
      <c r="H2366" s="15">
        <v>10</v>
      </c>
      <c r="I2366" s="163">
        <v>255</v>
      </c>
      <c r="J2366" s="15" t="s">
        <v>1888</v>
      </c>
      <c r="K2366" s="163" t="s">
        <v>46</v>
      </c>
      <c r="L2366" s="15">
        <v>5</v>
      </c>
      <c r="M2366" s="193">
        <v>12.4</v>
      </c>
      <c r="N2366" s="173" t="s">
        <v>571</v>
      </c>
    </row>
    <row r="2367" spans="1:14" x14ac:dyDescent="0.25">
      <c r="A2367" s="63" t="s">
        <v>570</v>
      </c>
      <c r="B2367" s="71" t="s">
        <v>3814</v>
      </c>
      <c r="C2367" s="2">
        <v>4099854282638</v>
      </c>
      <c r="D2367" s="93"/>
      <c r="E2367" s="61"/>
      <c r="G2367" s="156" t="str">
        <f>HYPERLINK("https://ledvance.com/pt/product-datasheet/303792/298652","Ficha Técnica")</f>
        <v>Ficha Técnica</v>
      </c>
      <c r="H2367" s="15">
        <v>10</v>
      </c>
      <c r="I2367" s="163">
        <v>255</v>
      </c>
      <c r="J2367" s="15" t="s">
        <v>1888</v>
      </c>
      <c r="K2367" s="163" t="s">
        <v>46</v>
      </c>
      <c r="L2367" s="15">
        <v>5</v>
      </c>
      <c r="M2367" s="193">
        <v>12.4</v>
      </c>
      <c r="N2367" s="173" t="s">
        <v>571</v>
      </c>
    </row>
    <row r="2368" spans="1:14" x14ac:dyDescent="0.25">
      <c r="A2368" s="63" t="s">
        <v>570</v>
      </c>
      <c r="B2368" s="71" t="s">
        <v>3815</v>
      </c>
      <c r="C2368" s="2">
        <v>4099854255267</v>
      </c>
      <c r="D2368" s="93"/>
      <c r="E2368" s="61"/>
      <c r="G2368" s="156" t="str">
        <f>HYPERLINK("https://ledvance.com/pt/product-datasheet/303792/290439","Ficha Técnica")</f>
        <v>Ficha Técnica</v>
      </c>
      <c r="H2368" s="15">
        <v>10</v>
      </c>
      <c r="I2368" s="163">
        <v>470</v>
      </c>
      <c r="J2368" s="15" t="s">
        <v>1886</v>
      </c>
      <c r="K2368" s="163" t="s">
        <v>46</v>
      </c>
      <c r="L2368" s="15">
        <v>5</v>
      </c>
      <c r="M2368" s="193">
        <v>13.4</v>
      </c>
      <c r="N2368" s="173" t="s">
        <v>571</v>
      </c>
    </row>
    <row r="2369" spans="1:14" x14ac:dyDescent="0.25">
      <c r="A2369" s="63" t="s">
        <v>570</v>
      </c>
      <c r="B2369" s="71" t="s">
        <v>3816</v>
      </c>
      <c r="C2369" s="2">
        <v>4099854255281</v>
      </c>
      <c r="D2369" s="93"/>
      <c r="E2369" s="61"/>
      <c r="G2369" s="156" t="str">
        <f>HYPERLINK("https://ledvance.com/pt/product-datasheet/303792/290491","Ficha Técnica")</f>
        <v>Ficha Técnica</v>
      </c>
      <c r="H2369" s="15">
        <v>10</v>
      </c>
      <c r="I2369" s="163">
        <v>470</v>
      </c>
      <c r="J2369" s="15" t="s">
        <v>1886</v>
      </c>
      <c r="K2369" s="163" t="s">
        <v>46</v>
      </c>
      <c r="L2369" s="15">
        <v>5</v>
      </c>
      <c r="M2369" s="193">
        <v>13.4</v>
      </c>
      <c r="N2369" s="173" t="s">
        <v>571</v>
      </c>
    </row>
    <row r="2370" spans="1:14" x14ac:dyDescent="0.25">
      <c r="A2370" s="63" t="s">
        <v>570</v>
      </c>
      <c r="B2370" s="71" t="s">
        <v>3817</v>
      </c>
      <c r="C2370" s="2">
        <v>4099854255304</v>
      </c>
      <c r="D2370" s="93"/>
      <c r="E2370" s="61"/>
      <c r="G2370" s="156" t="str">
        <f>HYPERLINK("https://ledvance.com/pt/product-datasheet/303792/290500","Ficha Técnica")</f>
        <v>Ficha Técnica</v>
      </c>
      <c r="H2370" s="15">
        <v>10</v>
      </c>
      <c r="I2370" s="163">
        <v>806</v>
      </c>
      <c r="J2370" s="15" t="s">
        <v>1887</v>
      </c>
      <c r="K2370" s="163" t="s">
        <v>46</v>
      </c>
      <c r="L2370" s="15">
        <v>5</v>
      </c>
      <c r="M2370" s="193">
        <v>14.5</v>
      </c>
      <c r="N2370" s="173" t="s">
        <v>571</v>
      </c>
    </row>
    <row r="2371" spans="1:14" x14ac:dyDescent="0.25">
      <c r="A2371" s="63" t="s">
        <v>570</v>
      </c>
      <c r="B2371" s="71" t="s">
        <v>3818</v>
      </c>
      <c r="C2371" s="2">
        <v>4099854255328</v>
      </c>
      <c r="D2371" s="93"/>
      <c r="E2371" s="61"/>
      <c r="G2371" s="156" t="str">
        <f>HYPERLINK("https://ledvance.com/pt/product-datasheet/303792/290488","Ficha Técnica")</f>
        <v>Ficha Técnica</v>
      </c>
      <c r="H2371" s="15">
        <v>10</v>
      </c>
      <c r="I2371" s="163">
        <v>806</v>
      </c>
      <c r="J2371" s="15" t="s">
        <v>1887</v>
      </c>
      <c r="K2371" s="163" t="s">
        <v>46</v>
      </c>
      <c r="L2371" s="15">
        <v>5</v>
      </c>
      <c r="M2371" s="193">
        <v>14.5</v>
      </c>
      <c r="N2371" s="173" t="s">
        <v>571</v>
      </c>
    </row>
    <row r="2372" spans="1:14" x14ac:dyDescent="0.25">
      <c r="A2372" s="66" t="s">
        <v>570</v>
      </c>
      <c r="B2372" s="73" t="s">
        <v>1459</v>
      </c>
      <c r="C2372" s="52"/>
      <c r="D2372" s="65"/>
      <c r="E2372" s="92"/>
      <c r="F2372" s="12"/>
      <c r="G2372" s="157"/>
      <c r="H2372" s="12"/>
      <c r="I2372" s="62"/>
      <c r="J2372" s="27"/>
      <c r="K2372" s="62"/>
      <c r="L2372" s="12"/>
      <c r="M2372" s="191"/>
      <c r="N2372" s="130"/>
    </row>
    <row r="2373" spans="1:14" x14ac:dyDescent="0.25">
      <c r="A2373" s="63" t="s">
        <v>570</v>
      </c>
      <c r="B2373" s="71" t="s">
        <v>3819</v>
      </c>
      <c r="C2373" s="2">
        <v>4099854281990</v>
      </c>
      <c r="D2373" s="93"/>
      <c r="E2373" s="61"/>
      <c r="G2373" s="156" t="str">
        <f>HYPERLINK("https://ledvance.com/pt/product-datasheet/303798/298384","Ficha Técnica")</f>
        <v>Ficha Técnica</v>
      </c>
      <c r="H2373" s="15">
        <v>10</v>
      </c>
      <c r="I2373" s="163">
        <v>255</v>
      </c>
      <c r="J2373" s="15" t="s">
        <v>1888</v>
      </c>
      <c r="K2373" s="163" t="s">
        <v>46</v>
      </c>
      <c r="L2373" s="15">
        <v>5</v>
      </c>
      <c r="M2373" s="193">
        <v>15.8</v>
      </c>
      <c r="N2373" s="173" t="s">
        <v>571</v>
      </c>
    </row>
    <row r="2374" spans="1:14" x14ac:dyDescent="0.25">
      <c r="A2374" s="63" t="s">
        <v>570</v>
      </c>
      <c r="B2374" s="71" t="s">
        <v>3820</v>
      </c>
      <c r="C2374" s="2">
        <v>4099854282010</v>
      </c>
      <c r="D2374" s="93"/>
      <c r="E2374" s="61"/>
      <c r="G2374" s="156" t="str">
        <f>HYPERLINK("https://ledvance.com/pt/product-datasheet/303798/298390","Ficha Técnica")</f>
        <v>Ficha Técnica</v>
      </c>
      <c r="H2374" s="15">
        <v>10</v>
      </c>
      <c r="I2374" s="163">
        <v>255</v>
      </c>
      <c r="J2374" s="15" t="s">
        <v>1888</v>
      </c>
      <c r="K2374" s="163" t="s">
        <v>46</v>
      </c>
      <c r="L2374" s="15">
        <v>5</v>
      </c>
      <c r="M2374" s="193">
        <v>15.8</v>
      </c>
      <c r="N2374" s="173" t="s">
        <v>571</v>
      </c>
    </row>
    <row r="2375" spans="1:14" x14ac:dyDescent="0.25">
      <c r="A2375" s="63" t="s">
        <v>570</v>
      </c>
      <c r="B2375" s="71" t="s">
        <v>3821</v>
      </c>
      <c r="C2375" s="2">
        <v>4099854282157</v>
      </c>
      <c r="D2375" s="93"/>
      <c r="E2375" s="61"/>
      <c r="G2375" s="156" t="str">
        <f>HYPERLINK("https://ledvance.com/pt/product-datasheet/303798/298372","Ficha Técnica")</f>
        <v>Ficha Técnica</v>
      </c>
      <c r="H2375" s="15">
        <v>10</v>
      </c>
      <c r="I2375" s="163">
        <v>255</v>
      </c>
      <c r="J2375" s="15" t="s">
        <v>1888</v>
      </c>
      <c r="K2375" s="163" t="s">
        <v>46</v>
      </c>
      <c r="L2375" s="15">
        <v>5</v>
      </c>
      <c r="M2375" s="193">
        <v>15.8</v>
      </c>
      <c r="N2375" s="173" t="s">
        <v>571</v>
      </c>
    </row>
    <row r="2376" spans="1:14" x14ac:dyDescent="0.25">
      <c r="A2376" s="63" t="s">
        <v>570</v>
      </c>
      <c r="B2376" s="71" t="s">
        <v>3822</v>
      </c>
      <c r="C2376" s="2">
        <v>4099854282171</v>
      </c>
      <c r="D2376" s="93"/>
      <c r="E2376" s="61"/>
      <c r="G2376" s="156" t="str">
        <f>HYPERLINK("https://ledvance.com/pt/product-datasheet/303798/298378","Ficha Técnica")</f>
        <v>Ficha Técnica</v>
      </c>
      <c r="H2376" s="15">
        <v>10</v>
      </c>
      <c r="I2376" s="163">
        <v>255</v>
      </c>
      <c r="J2376" s="15" t="s">
        <v>1888</v>
      </c>
      <c r="K2376" s="163" t="s">
        <v>46</v>
      </c>
      <c r="L2376" s="15">
        <v>5</v>
      </c>
      <c r="M2376" s="193">
        <v>15.8</v>
      </c>
      <c r="N2376" s="173" t="s">
        <v>571</v>
      </c>
    </row>
    <row r="2377" spans="1:14" x14ac:dyDescent="0.25">
      <c r="A2377" s="63" t="s">
        <v>570</v>
      </c>
      <c r="B2377" s="71" t="s">
        <v>3823</v>
      </c>
      <c r="C2377" s="2">
        <v>4099854255373</v>
      </c>
      <c r="D2377" s="93"/>
      <c r="E2377" s="61"/>
      <c r="G2377" s="156" t="str">
        <f>HYPERLINK("https://ledvance.com/pt/product-datasheet/303798/290455","Ficha Técnica")</f>
        <v>Ficha Técnica</v>
      </c>
      <c r="H2377" s="15">
        <v>10</v>
      </c>
      <c r="I2377" s="163">
        <v>470</v>
      </c>
      <c r="J2377" s="15" t="s">
        <v>1886</v>
      </c>
      <c r="K2377" s="163" t="s">
        <v>46</v>
      </c>
      <c r="L2377" s="15">
        <v>5</v>
      </c>
      <c r="M2377" s="193">
        <v>13.5</v>
      </c>
      <c r="N2377" s="173" t="s">
        <v>571</v>
      </c>
    </row>
    <row r="2378" spans="1:14" x14ac:dyDescent="0.25">
      <c r="A2378" s="63" t="s">
        <v>570</v>
      </c>
      <c r="B2378" s="71" t="s">
        <v>3824</v>
      </c>
      <c r="C2378" s="2">
        <v>4099854255458</v>
      </c>
      <c r="D2378" s="93"/>
      <c r="E2378" s="61"/>
      <c r="G2378" s="156" t="str">
        <f>HYPERLINK("https://ledvance.com/pt/product-datasheet/303798/290472","Ficha Técnica")</f>
        <v>Ficha Técnica</v>
      </c>
      <c r="H2378" s="15">
        <v>10</v>
      </c>
      <c r="I2378" s="163">
        <v>470</v>
      </c>
      <c r="J2378" s="15" t="s">
        <v>1886</v>
      </c>
      <c r="K2378" s="163" t="s">
        <v>46</v>
      </c>
      <c r="L2378" s="15">
        <v>5</v>
      </c>
      <c r="M2378" s="193">
        <v>13.5</v>
      </c>
      <c r="N2378" s="173" t="s">
        <v>571</v>
      </c>
    </row>
    <row r="2379" spans="1:14" x14ac:dyDescent="0.25">
      <c r="A2379" s="63" t="s">
        <v>570</v>
      </c>
      <c r="B2379" s="71" t="s">
        <v>3825</v>
      </c>
      <c r="C2379" s="2">
        <v>4099854255397</v>
      </c>
      <c r="D2379" s="93"/>
      <c r="E2379" s="61"/>
      <c r="G2379" s="156" t="str">
        <f>HYPERLINK("https://ledvance.com/pt/product-datasheet/303798/290469","Ficha Técnica")</f>
        <v>Ficha Técnica</v>
      </c>
      <c r="H2379" s="15">
        <v>10</v>
      </c>
      <c r="I2379" s="163">
        <v>806</v>
      </c>
      <c r="J2379" s="15" t="s">
        <v>1887</v>
      </c>
      <c r="K2379" s="163" t="s">
        <v>46</v>
      </c>
      <c r="L2379" s="15">
        <v>5</v>
      </c>
      <c r="M2379" s="193">
        <v>14.5</v>
      </c>
      <c r="N2379" s="173" t="s">
        <v>571</v>
      </c>
    </row>
    <row r="2380" spans="1:14" x14ac:dyDescent="0.25">
      <c r="A2380" s="63" t="s">
        <v>570</v>
      </c>
      <c r="B2380" s="71" t="s">
        <v>3826</v>
      </c>
      <c r="C2380" s="2">
        <v>4099854255519</v>
      </c>
      <c r="D2380" s="93"/>
      <c r="E2380" s="61"/>
      <c r="G2380" s="156" t="str">
        <f>HYPERLINK("https://ledvance.com/pt/product-datasheet/303798/290477","Ficha Técnica")</f>
        <v>Ficha Técnica</v>
      </c>
      <c r="H2380" s="15">
        <v>10</v>
      </c>
      <c r="I2380" s="163">
        <v>806</v>
      </c>
      <c r="J2380" s="15" t="s">
        <v>1887</v>
      </c>
      <c r="K2380" s="163" t="s">
        <v>46</v>
      </c>
      <c r="L2380" s="15">
        <v>5</v>
      </c>
      <c r="M2380" s="193">
        <v>14.5</v>
      </c>
      <c r="N2380" s="173" t="s">
        <v>571</v>
      </c>
    </row>
    <row r="2381" spans="1:14" x14ac:dyDescent="0.25">
      <c r="A2381" s="66" t="s">
        <v>570</v>
      </c>
      <c r="B2381" s="73" t="s">
        <v>1466</v>
      </c>
      <c r="C2381" s="52"/>
      <c r="D2381" s="65"/>
      <c r="E2381" s="92"/>
      <c r="F2381" s="12"/>
      <c r="G2381" s="157"/>
      <c r="H2381" s="12"/>
      <c r="I2381" s="62"/>
      <c r="J2381" s="27"/>
      <c r="K2381" s="62"/>
      <c r="L2381" s="12"/>
      <c r="M2381" s="191"/>
      <c r="N2381" s="130"/>
    </row>
    <row r="2382" spans="1:14" x14ac:dyDescent="0.25">
      <c r="A2382" s="63" t="s">
        <v>570</v>
      </c>
      <c r="B2382" s="71" t="s">
        <v>1535</v>
      </c>
      <c r="C2382" s="2">
        <v>4099854252549</v>
      </c>
      <c r="D2382" s="95">
        <v>4099854065903</v>
      </c>
      <c r="E2382" s="96" t="s">
        <v>1315</v>
      </c>
      <c r="G2382" s="156" t="str">
        <f>HYPERLINK("https://ledvance.com/pt/product-datasheet/251539/289656","Ficha Técnica")</f>
        <v>Ficha Técnica</v>
      </c>
      <c r="H2382" s="15">
        <v>10</v>
      </c>
      <c r="I2382" s="163">
        <v>1055</v>
      </c>
      <c r="J2382" s="15" t="s">
        <v>1889</v>
      </c>
      <c r="K2382" s="163" t="s">
        <v>46</v>
      </c>
      <c r="L2382" s="15">
        <v>5</v>
      </c>
      <c r="M2382" s="193">
        <v>15.4</v>
      </c>
      <c r="N2382" s="173" t="s">
        <v>571</v>
      </c>
    </row>
    <row r="2383" spans="1:14" x14ac:dyDescent="0.25">
      <c r="A2383" s="63" t="s">
        <v>570</v>
      </c>
      <c r="B2383" s="71" t="s">
        <v>1536</v>
      </c>
      <c r="C2383" s="2">
        <v>4099854252587</v>
      </c>
      <c r="D2383" s="95">
        <v>4099854065927</v>
      </c>
      <c r="E2383" s="96" t="s">
        <v>1316</v>
      </c>
      <c r="G2383" s="156" t="str">
        <f>HYPERLINK("https://ledvance.com/pt/product-datasheet/251539/289659","Ficha Técnica")</f>
        <v>Ficha Técnica</v>
      </c>
      <c r="H2383" s="15">
        <v>10</v>
      </c>
      <c r="I2383" s="163">
        <v>1521</v>
      </c>
      <c r="J2383" s="15" t="s">
        <v>1890</v>
      </c>
      <c r="K2383" s="163" t="s">
        <v>46</v>
      </c>
      <c r="L2383" s="15">
        <v>5</v>
      </c>
      <c r="M2383" s="193">
        <v>16.899999999999999</v>
      </c>
      <c r="N2383" s="173" t="s">
        <v>571</v>
      </c>
    </row>
    <row r="2384" spans="1:14" x14ac:dyDescent="0.25">
      <c r="A2384" s="63" t="s">
        <v>570</v>
      </c>
      <c r="B2384" s="71" t="s">
        <v>1537</v>
      </c>
      <c r="C2384" s="2">
        <v>4099854252563</v>
      </c>
      <c r="D2384" s="95">
        <v>4099854065941</v>
      </c>
      <c r="E2384" s="96" t="s">
        <v>1317</v>
      </c>
      <c r="G2384" s="156" t="str">
        <f>HYPERLINK("https://ledvance.com/pt/product-datasheet/251539/289662","Ficha Técnica")</f>
        <v>Ficha Técnica</v>
      </c>
      <c r="H2384" s="15">
        <v>10</v>
      </c>
      <c r="I2384" s="163">
        <v>1055</v>
      </c>
      <c r="J2384" s="15" t="s">
        <v>1889</v>
      </c>
      <c r="K2384" s="163" t="s">
        <v>46</v>
      </c>
      <c r="L2384" s="15">
        <v>5</v>
      </c>
      <c r="M2384" s="193">
        <v>15.9</v>
      </c>
      <c r="N2384" s="173" t="s">
        <v>571</v>
      </c>
    </row>
    <row r="2385" spans="1:14" x14ac:dyDescent="0.25">
      <c r="A2385" s="63" t="s">
        <v>570</v>
      </c>
      <c r="B2385" s="71" t="s">
        <v>1538</v>
      </c>
      <c r="C2385" s="2">
        <v>4099854252600</v>
      </c>
      <c r="D2385" s="95">
        <v>4099854065965</v>
      </c>
      <c r="E2385" s="96" t="s">
        <v>1318</v>
      </c>
      <c r="G2385" s="156" t="str">
        <f>HYPERLINK("https://ledvance.com/pt/product-datasheet/251539/289665","Ficha Técnica")</f>
        <v>Ficha Técnica</v>
      </c>
      <c r="H2385" s="15">
        <v>10</v>
      </c>
      <c r="I2385" s="163">
        <v>1521</v>
      </c>
      <c r="J2385" s="15" t="s">
        <v>1890</v>
      </c>
      <c r="K2385" s="163" t="s">
        <v>46</v>
      </c>
      <c r="L2385" s="15">
        <v>5</v>
      </c>
      <c r="M2385" s="193">
        <v>17.399999999999999</v>
      </c>
      <c r="N2385" s="173" t="s">
        <v>571</v>
      </c>
    </row>
    <row r="2386" spans="1:14" x14ac:dyDescent="0.25">
      <c r="A2386" s="66" t="s">
        <v>570</v>
      </c>
      <c r="B2386" s="73" t="s">
        <v>1467</v>
      </c>
      <c r="C2386" s="52"/>
      <c r="D2386" s="65"/>
      <c r="E2386" s="92"/>
      <c r="F2386" s="12"/>
      <c r="G2386" s="157"/>
      <c r="H2386" s="12"/>
      <c r="I2386" s="62"/>
      <c r="J2386" s="27"/>
      <c r="K2386" s="62"/>
      <c r="L2386" s="12"/>
      <c r="M2386" s="191"/>
      <c r="N2386" s="130"/>
    </row>
    <row r="2387" spans="1:14" x14ac:dyDescent="0.25">
      <c r="A2387" s="63" t="s">
        <v>570</v>
      </c>
      <c r="B2387" s="71" t="s">
        <v>1539</v>
      </c>
      <c r="C2387" s="2">
        <v>4099854253300</v>
      </c>
      <c r="D2387" s="95">
        <v>4099854066276</v>
      </c>
      <c r="E2387" s="96" t="s">
        <v>1320</v>
      </c>
      <c r="G2387" s="156" t="str">
        <f>HYPERLINK("https://ledvance.com/pt/product-datasheet/251540/289856","Ficha Técnica")</f>
        <v>Ficha Técnica</v>
      </c>
      <c r="H2387" s="15">
        <v>10</v>
      </c>
      <c r="I2387" s="163">
        <v>470</v>
      </c>
      <c r="J2387" s="15" t="s">
        <v>1891</v>
      </c>
      <c r="K2387" s="163" t="s">
        <v>46</v>
      </c>
      <c r="L2387" s="15">
        <v>5</v>
      </c>
      <c r="M2387" s="193">
        <v>17.100000000000001</v>
      </c>
      <c r="N2387" s="173" t="s">
        <v>571</v>
      </c>
    </row>
    <row r="2388" spans="1:14" x14ac:dyDescent="0.25">
      <c r="A2388" s="63" t="s">
        <v>570</v>
      </c>
      <c r="B2388" s="71" t="s">
        <v>1572</v>
      </c>
      <c r="C2388" s="2">
        <v>4099854253324</v>
      </c>
      <c r="D2388" s="95">
        <v>4099854066382</v>
      </c>
      <c r="E2388" s="96" t="s">
        <v>1322</v>
      </c>
      <c r="G2388" s="156" t="str">
        <f>HYPERLINK("https://ledvance.com/pt/product-datasheet/251540/289862","Ficha Técnica")</f>
        <v>Ficha Técnica</v>
      </c>
      <c r="H2388" s="15">
        <v>10</v>
      </c>
      <c r="I2388" s="163">
        <v>470</v>
      </c>
      <c r="J2388" s="15" t="s">
        <v>1891</v>
      </c>
      <c r="K2388" s="163" t="s">
        <v>46</v>
      </c>
      <c r="L2388" s="15">
        <v>5</v>
      </c>
      <c r="M2388" s="193">
        <v>17.7</v>
      </c>
      <c r="N2388" s="173" t="s">
        <v>571</v>
      </c>
    </row>
    <row r="2389" spans="1:14" x14ac:dyDescent="0.25">
      <c r="A2389" s="66" t="s">
        <v>570</v>
      </c>
      <c r="B2389" s="73" t="s">
        <v>1468</v>
      </c>
      <c r="C2389" s="52"/>
      <c r="D2389" s="65"/>
      <c r="E2389" s="92"/>
      <c r="F2389" s="12"/>
      <c r="G2389" s="157"/>
      <c r="H2389" s="12"/>
      <c r="I2389" s="62"/>
      <c r="J2389" s="27"/>
      <c r="K2389" s="62"/>
      <c r="L2389" s="12"/>
      <c r="M2389" s="191"/>
      <c r="N2389" s="130"/>
    </row>
    <row r="2390" spans="1:14" x14ac:dyDescent="0.25">
      <c r="A2390" s="63" t="s">
        <v>570</v>
      </c>
      <c r="B2390" s="71" t="s">
        <v>1540</v>
      </c>
      <c r="C2390" s="2">
        <v>4099854253348</v>
      </c>
      <c r="D2390" s="95">
        <v>4099854066535</v>
      </c>
      <c r="E2390" s="96" t="s">
        <v>1319</v>
      </c>
      <c r="G2390" s="156" t="str">
        <f>HYPERLINK("https://ledvance.com/pt/product-datasheet/251541/289853","Ficha Técnica")</f>
        <v>Ficha Técnica</v>
      </c>
      <c r="H2390" s="15">
        <v>10</v>
      </c>
      <c r="I2390" s="163">
        <v>470</v>
      </c>
      <c r="J2390" s="15" t="s">
        <v>1891</v>
      </c>
      <c r="K2390" s="163" t="s">
        <v>46</v>
      </c>
      <c r="L2390" s="15">
        <v>5</v>
      </c>
      <c r="M2390" s="193">
        <v>17.100000000000001</v>
      </c>
      <c r="N2390" s="173" t="s">
        <v>571</v>
      </c>
    </row>
    <row r="2391" spans="1:14" x14ac:dyDescent="0.25">
      <c r="A2391" s="63" t="s">
        <v>570</v>
      </c>
      <c r="B2391" s="71" t="s">
        <v>1573</v>
      </c>
      <c r="C2391" s="2">
        <v>4099854253362</v>
      </c>
      <c r="D2391" s="95">
        <v>4058075747845</v>
      </c>
      <c r="E2391" s="96" t="s">
        <v>1321</v>
      </c>
      <c r="G2391" s="156" t="str">
        <f>HYPERLINK("https://ledvance.com/pt/product-datasheet/251541/289859","Ficha Técnica")</f>
        <v>Ficha Técnica</v>
      </c>
      <c r="H2391" s="15">
        <v>10</v>
      </c>
      <c r="I2391" s="163">
        <v>470</v>
      </c>
      <c r="J2391" s="15" t="s">
        <v>1891</v>
      </c>
      <c r="K2391" s="163" t="s">
        <v>46</v>
      </c>
      <c r="L2391" s="15">
        <v>5</v>
      </c>
      <c r="M2391" s="193">
        <v>17.7</v>
      </c>
      <c r="N2391" s="173" t="s">
        <v>571</v>
      </c>
    </row>
    <row r="2392" spans="1:14" x14ac:dyDescent="0.25">
      <c r="A2392" s="66" t="s">
        <v>570</v>
      </c>
      <c r="B2392" s="73" t="s">
        <v>609</v>
      </c>
      <c r="C2392" s="52"/>
      <c r="D2392" s="65"/>
      <c r="E2392" s="92"/>
      <c r="F2392" s="12"/>
      <c r="G2392" s="157"/>
      <c r="H2392" s="12"/>
      <c r="I2392" s="62"/>
      <c r="J2392" s="27"/>
      <c r="K2392" s="62"/>
      <c r="L2392" s="12"/>
      <c r="M2392" s="191"/>
      <c r="N2392" s="130"/>
    </row>
    <row r="2393" spans="1:14" x14ac:dyDescent="0.25">
      <c r="A2393" s="63" t="s">
        <v>570</v>
      </c>
      <c r="B2393" s="71" t="s">
        <v>3827</v>
      </c>
      <c r="C2393" s="2">
        <v>4099854245251</v>
      </c>
      <c r="D2393" s="95">
        <v>4099854071690</v>
      </c>
      <c r="E2393" s="96" t="s">
        <v>1323</v>
      </c>
      <c r="G2393" s="156" t="str">
        <f>HYPERLINK("https://ledvance.com/pt/product-datasheet/260938/287912","Ficha Técnica")</f>
        <v>Ficha Técnica</v>
      </c>
      <c r="H2393" s="15">
        <v>10</v>
      </c>
      <c r="I2393" s="163">
        <v>360</v>
      </c>
      <c r="J2393" s="15">
        <v>2</v>
      </c>
      <c r="K2393" s="163" t="s">
        <v>46</v>
      </c>
      <c r="L2393" s="15">
        <v>5</v>
      </c>
      <c r="M2393" s="193">
        <v>13.3</v>
      </c>
      <c r="N2393" s="173" t="s">
        <v>571</v>
      </c>
    </row>
    <row r="2394" spans="1:14" x14ac:dyDescent="0.25">
      <c r="A2394" s="63" t="s">
        <v>570</v>
      </c>
      <c r="B2394" s="71" t="s">
        <v>3828</v>
      </c>
      <c r="C2394" s="2">
        <v>4099854245275</v>
      </c>
      <c r="D2394" s="93"/>
      <c r="E2394" s="61"/>
      <c r="G2394" s="156" t="str">
        <f>HYPERLINK("https://ledvance.com/pt/product-datasheet/260938/287924","Ficha Técnica")</f>
        <v>Ficha Técnica</v>
      </c>
      <c r="H2394" s="15">
        <v>10</v>
      </c>
      <c r="I2394" s="163">
        <v>360</v>
      </c>
      <c r="J2394" s="15">
        <v>2</v>
      </c>
      <c r="K2394" s="163" t="s">
        <v>46</v>
      </c>
      <c r="L2394" s="15">
        <v>5</v>
      </c>
      <c r="M2394" s="193">
        <v>13.3</v>
      </c>
      <c r="N2394" s="173" t="s">
        <v>571</v>
      </c>
    </row>
    <row r="2395" spans="1:14" x14ac:dyDescent="0.25">
      <c r="A2395" s="66" t="s">
        <v>570</v>
      </c>
      <c r="B2395" s="73" t="s">
        <v>610</v>
      </c>
      <c r="C2395" s="52"/>
      <c r="D2395" s="65"/>
      <c r="E2395" s="92"/>
      <c r="F2395" s="12"/>
      <c r="G2395" s="157"/>
      <c r="H2395" s="12"/>
      <c r="I2395" s="62"/>
      <c r="J2395" s="27"/>
      <c r="K2395" s="62"/>
      <c r="L2395" s="12"/>
      <c r="M2395" s="191"/>
      <c r="N2395" s="130"/>
    </row>
    <row r="2396" spans="1:14" x14ac:dyDescent="0.25">
      <c r="A2396" s="63" t="s">
        <v>570</v>
      </c>
      <c r="B2396" s="71" t="s">
        <v>611</v>
      </c>
      <c r="C2396" s="2">
        <v>4099854067396</v>
      </c>
      <c r="D2396" s="118"/>
      <c r="E2396" s="119"/>
      <c r="F2396" s="25"/>
      <c r="G2396" s="156" t="str">
        <f>HYPERLINK("https://ledvance.com/pt/product-datasheet/251424/238302","Ficha Técnica")</f>
        <v>Ficha Técnica</v>
      </c>
      <c r="H2396" s="15">
        <v>10</v>
      </c>
      <c r="I2396" s="163">
        <v>470</v>
      </c>
      <c r="J2396" s="15" t="s">
        <v>1892</v>
      </c>
      <c r="K2396" s="163" t="s">
        <v>46</v>
      </c>
      <c r="L2396" s="15">
        <v>5</v>
      </c>
      <c r="M2396" s="193">
        <v>6.5</v>
      </c>
      <c r="N2396" s="173" t="s">
        <v>571</v>
      </c>
    </row>
    <row r="2397" spans="1:14" x14ac:dyDescent="0.25">
      <c r="A2397" s="63" t="s">
        <v>570</v>
      </c>
      <c r="B2397" s="71" t="s">
        <v>612</v>
      </c>
      <c r="C2397" s="2">
        <v>4099854054372</v>
      </c>
      <c r="D2397" s="118"/>
      <c r="E2397" s="119"/>
      <c r="F2397" s="25"/>
      <c r="G2397" s="156" t="str">
        <f>HYPERLINK("https://ledvance.com/pt/product-datasheet/251424/236238","Ficha Técnica")</f>
        <v>Ficha Técnica</v>
      </c>
      <c r="H2397" s="15">
        <v>10</v>
      </c>
      <c r="I2397" s="163">
        <v>806</v>
      </c>
      <c r="J2397" s="15">
        <v>7</v>
      </c>
      <c r="K2397" s="163" t="s">
        <v>46</v>
      </c>
      <c r="L2397" s="15">
        <v>5</v>
      </c>
      <c r="M2397" s="193">
        <v>7.2</v>
      </c>
      <c r="N2397" s="173" t="s">
        <v>571</v>
      </c>
    </row>
    <row r="2398" spans="1:14" x14ac:dyDescent="0.25">
      <c r="A2398" s="63" t="s">
        <v>570</v>
      </c>
      <c r="B2398" s="71" t="s">
        <v>613</v>
      </c>
      <c r="C2398" s="2">
        <v>4099854054396</v>
      </c>
      <c r="D2398" s="118"/>
      <c r="E2398" s="119"/>
      <c r="F2398" s="25"/>
      <c r="G2398" s="156" t="str">
        <f>HYPERLINK("https://ledvance.com/pt/product-datasheet/251424/236250","Ficha Técnica")</f>
        <v>Ficha Técnica</v>
      </c>
      <c r="H2398" s="15">
        <v>10</v>
      </c>
      <c r="I2398" s="163">
        <v>806</v>
      </c>
      <c r="J2398" s="15">
        <v>7</v>
      </c>
      <c r="K2398" s="163" t="s">
        <v>46</v>
      </c>
      <c r="L2398" s="15">
        <v>5</v>
      </c>
      <c r="M2398" s="193">
        <v>7.1</v>
      </c>
      <c r="N2398" s="173" t="s">
        <v>571</v>
      </c>
    </row>
    <row r="2399" spans="1:14" x14ac:dyDescent="0.25">
      <c r="A2399" s="63" t="s">
        <v>570</v>
      </c>
      <c r="B2399" s="71" t="s">
        <v>614</v>
      </c>
      <c r="C2399" s="2">
        <v>4099854060915</v>
      </c>
      <c r="D2399" s="118"/>
      <c r="E2399" s="119"/>
      <c r="F2399" s="25"/>
      <c r="G2399" s="156" t="str">
        <f>HYPERLINK("https://ledvance.com/pt/product-datasheet/251424/237171","Ficha Técnica")</f>
        <v>Ficha Técnica</v>
      </c>
      <c r="H2399" s="15">
        <v>10</v>
      </c>
      <c r="I2399" s="163">
        <v>1055</v>
      </c>
      <c r="J2399" s="15" t="s">
        <v>1854</v>
      </c>
      <c r="K2399" s="163" t="s">
        <v>46</v>
      </c>
      <c r="L2399" s="15">
        <v>5</v>
      </c>
      <c r="M2399" s="193">
        <v>10.8</v>
      </c>
      <c r="N2399" s="173" t="s">
        <v>571</v>
      </c>
    </row>
    <row r="2400" spans="1:14" x14ac:dyDescent="0.25">
      <c r="A2400" s="63" t="s">
        <v>570</v>
      </c>
      <c r="B2400" s="71" t="s">
        <v>615</v>
      </c>
      <c r="C2400" s="2">
        <v>4099854060595</v>
      </c>
      <c r="D2400" s="118"/>
      <c r="E2400" s="119"/>
      <c r="F2400" s="25"/>
      <c r="G2400" s="156" t="str">
        <f>HYPERLINK("https://ledvance.com/pt/product-datasheet/251424/237156","Ficha Técnica")</f>
        <v>Ficha Técnica</v>
      </c>
      <c r="H2400" s="15">
        <v>10</v>
      </c>
      <c r="I2400" s="163">
        <v>1521</v>
      </c>
      <c r="J2400" s="15">
        <v>11</v>
      </c>
      <c r="K2400" s="163" t="s">
        <v>46</v>
      </c>
      <c r="L2400" s="15">
        <v>5</v>
      </c>
      <c r="M2400" s="193">
        <v>12.1</v>
      </c>
      <c r="N2400" s="173" t="s">
        <v>571</v>
      </c>
    </row>
    <row r="2401" spans="1:14" x14ac:dyDescent="0.25">
      <c r="A2401" s="66" t="s">
        <v>570</v>
      </c>
      <c r="B2401" s="73" t="s">
        <v>616</v>
      </c>
      <c r="C2401" s="52"/>
      <c r="D2401" s="65"/>
      <c r="E2401" s="92"/>
      <c r="F2401" s="12"/>
      <c r="G2401" s="157"/>
      <c r="H2401" s="12"/>
      <c r="I2401" s="62"/>
      <c r="J2401" s="27"/>
      <c r="K2401" s="62"/>
      <c r="L2401" s="12"/>
      <c r="M2401" s="191"/>
      <c r="N2401" s="130"/>
    </row>
    <row r="2402" spans="1:14" x14ac:dyDescent="0.25">
      <c r="A2402" s="63" t="s">
        <v>570</v>
      </c>
      <c r="B2402" s="71" t="s">
        <v>617</v>
      </c>
      <c r="C2402" s="2">
        <v>4099854067433</v>
      </c>
      <c r="D2402" s="118"/>
      <c r="E2402" s="119"/>
      <c r="F2402" s="25"/>
      <c r="G2402" s="156" t="str">
        <f>HYPERLINK("https://ledvance.com/pt/product-datasheet/251424/238317","Ficha Técnica")</f>
        <v>Ficha Técnica</v>
      </c>
      <c r="H2402" s="15">
        <v>10</v>
      </c>
      <c r="I2402" s="163">
        <v>470</v>
      </c>
      <c r="J2402" s="15" t="s">
        <v>1892</v>
      </c>
      <c r="K2402" s="163" t="s">
        <v>46</v>
      </c>
      <c r="L2402" s="15">
        <v>5</v>
      </c>
      <c r="M2402" s="193">
        <v>6.5</v>
      </c>
      <c r="N2402" s="173" t="s">
        <v>571</v>
      </c>
    </row>
    <row r="2403" spans="1:14" x14ac:dyDescent="0.25">
      <c r="A2403" s="63" t="s">
        <v>570</v>
      </c>
      <c r="B2403" s="71" t="s">
        <v>618</v>
      </c>
      <c r="C2403" s="2">
        <v>4099854054433</v>
      </c>
      <c r="D2403" s="118"/>
      <c r="E2403" s="119"/>
      <c r="F2403" s="25"/>
      <c r="G2403" s="156" t="str">
        <f>HYPERLINK("https://ledvance.com/pt/product-datasheet/251424/236256","Ficha Técnica")</f>
        <v>Ficha Técnica</v>
      </c>
      <c r="H2403" s="15">
        <v>10</v>
      </c>
      <c r="I2403" s="163">
        <v>806</v>
      </c>
      <c r="J2403" s="15">
        <v>7</v>
      </c>
      <c r="K2403" s="163" t="s">
        <v>46</v>
      </c>
      <c r="L2403" s="15">
        <v>5</v>
      </c>
      <c r="M2403" s="193">
        <v>7.1</v>
      </c>
      <c r="N2403" s="173" t="s">
        <v>571</v>
      </c>
    </row>
    <row r="2404" spans="1:14" x14ac:dyDescent="0.25">
      <c r="A2404" s="63" t="s">
        <v>570</v>
      </c>
      <c r="B2404" s="71" t="s">
        <v>619</v>
      </c>
      <c r="C2404" s="2">
        <v>4099854054297</v>
      </c>
      <c r="D2404" s="118"/>
      <c r="E2404" s="119"/>
      <c r="F2404" s="25"/>
      <c r="G2404" s="156" t="str">
        <f>HYPERLINK("https://ledvance.com/pt/product-datasheet/251424/236226","Ficha Técnica")</f>
        <v>Ficha Técnica</v>
      </c>
      <c r="H2404" s="15">
        <v>10</v>
      </c>
      <c r="I2404" s="163">
        <v>806</v>
      </c>
      <c r="J2404" s="15">
        <v>7</v>
      </c>
      <c r="K2404" s="163" t="s">
        <v>46</v>
      </c>
      <c r="L2404" s="15">
        <v>5</v>
      </c>
      <c r="M2404" s="193">
        <v>7.1</v>
      </c>
      <c r="N2404" s="173" t="s">
        <v>571</v>
      </c>
    </row>
    <row r="2405" spans="1:14" x14ac:dyDescent="0.25">
      <c r="A2405" s="63" t="s">
        <v>570</v>
      </c>
      <c r="B2405" s="71" t="s">
        <v>620</v>
      </c>
      <c r="C2405" s="2">
        <v>4099854054334</v>
      </c>
      <c r="D2405" s="118"/>
      <c r="E2405" s="119"/>
      <c r="F2405" s="25"/>
      <c r="G2405" s="156" t="str">
        <f>HYPERLINK("https://ledvance.com/pt/product-datasheet/251424/236232","Ficha Técnica")</f>
        <v>Ficha Técnica</v>
      </c>
      <c r="H2405" s="15">
        <v>10</v>
      </c>
      <c r="I2405" s="163">
        <v>806</v>
      </c>
      <c r="J2405" s="15">
        <v>7</v>
      </c>
      <c r="K2405" s="163" t="s">
        <v>46</v>
      </c>
      <c r="L2405" s="15">
        <v>5</v>
      </c>
      <c r="M2405" s="193">
        <v>7.1</v>
      </c>
      <c r="N2405" s="173" t="s">
        <v>571</v>
      </c>
    </row>
    <row r="2406" spans="1:14" x14ac:dyDescent="0.25">
      <c r="A2406" s="63" t="s">
        <v>570</v>
      </c>
      <c r="B2406" s="71" t="s">
        <v>621</v>
      </c>
      <c r="C2406" s="2">
        <v>4099854060977</v>
      </c>
      <c r="D2406" s="118"/>
      <c r="E2406" s="119"/>
      <c r="F2406" s="25"/>
      <c r="G2406" s="156" t="str">
        <f>HYPERLINK("https://ledvance.com/pt/product-datasheet/251424/237174","Ficha Técnica")</f>
        <v>Ficha Técnica</v>
      </c>
      <c r="H2406" s="15">
        <v>10</v>
      </c>
      <c r="I2406" s="163">
        <v>1055</v>
      </c>
      <c r="J2406" s="15">
        <v>7.5</v>
      </c>
      <c r="K2406" s="163" t="s">
        <v>46</v>
      </c>
      <c r="L2406" s="15">
        <v>5</v>
      </c>
      <c r="M2406" s="193">
        <v>10.5</v>
      </c>
      <c r="N2406" s="173" t="s">
        <v>571</v>
      </c>
    </row>
    <row r="2407" spans="1:14" x14ac:dyDescent="0.25">
      <c r="A2407" s="63" t="s">
        <v>570</v>
      </c>
      <c r="B2407" s="71" t="s">
        <v>622</v>
      </c>
      <c r="C2407" s="2">
        <v>4099854060854</v>
      </c>
      <c r="D2407" s="118"/>
      <c r="E2407" s="119"/>
      <c r="F2407" s="25"/>
      <c r="G2407" s="156" t="str">
        <f>HYPERLINK("https://ledvance.com/pt/product-datasheet/251424/237168","Ficha Técnica")</f>
        <v>Ficha Técnica</v>
      </c>
      <c r="H2407" s="15">
        <v>10</v>
      </c>
      <c r="I2407" s="163">
        <v>1055</v>
      </c>
      <c r="J2407" s="15" t="s">
        <v>1854</v>
      </c>
      <c r="K2407" s="163" t="s">
        <v>46</v>
      </c>
      <c r="L2407" s="15">
        <v>5</v>
      </c>
      <c r="M2407" s="193">
        <v>10.5</v>
      </c>
      <c r="N2407" s="173" t="s">
        <v>571</v>
      </c>
    </row>
    <row r="2408" spans="1:14" x14ac:dyDescent="0.25">
      <c r="A2408" s="63" t="s">
        <v>570</v>
      </c>
      <c r="B2408" s="71" t="s">
        <v>623</v>
      </c>
      <c r="C2408" s="2">
        <v>4099854060656</v>
      </c>
      <c r="D2408" s="118"/>
      <c r="E2408" s="119"/>
      <c r="F2408" s="25"/>
      <c r="G2408" s="156" t="str">
        <f>HYPERLINK("https://ledvance.com/pt/product-datasheet/251424/237159","Ficha Técnica")</f>
        <v>Ficha Técnica</v>
      </c>
      <c r="H2408" s="15">
        <v>10</v>
      </c>
      <c r="I2408" s="163">
        <v>1521</v>
      </c>
      <c r="J2408" s="15">
        <v>11</v>
      </c>
      <c r="K2408" s="163" t="s">
        <v>46</v>
      </c>
      <c r="L2408" s="15">
        <v>5</v>
      </c>
      <c r="M2408" s="193">
        <v>12.1</v>
      </c>
      <c r="N2408" s="173" t="s">
        <v>571</v>
      </c>
    </row>
    <row r="2409" spans="1:14" x14ac:dyDescent="0.25">
      <c r="A2409" s="63" t="s">
        <v>570</v>
      </c>
      <c r="B2409" s="71" t="s">
        <v>624</v>
      </c>
      <c r="C2409" s="2">
        <v>4099854067457</v>
      </c>
      <c r="D2409" s="118"/>
      <c r="E2409" s="119"/>
      <c r="F2409" s="25"/>
      <c r="G2409" s="156" t="str">
        <f>HYPERLINK("https://ledvance.com/pt/product-datasheet/251424/238294","Ficha Técnica")</f>
        <v>Ficha Técnica</v>
      </c>
      <c r="H2409" s="15">
        <v>10</v>
      </c>
      <c r="I2409" s="163">
        <v>2452</v>
      </c>
      <c r="J2409" s="15">
        <v>18</v>
      </c>
      <c r="K2409" s="163" t="s">
        <v>46</v>
      </c>
      <c r="L2409" s="15">
        <v>5</v>
      </c>
      <c r="M2409" s="193">
        <v>26</v>
      </c>
      <c r="N2409" s="173" t="s">
        <v>571</v>
      </c>
    </row>
    <row r="2410" spans="1:14" x14ac:dyDescent="0.25">
      <c r="A2410" s="66" t="s">
        <v>570</v>
      </c>
      <c r="B2410" s="73" t="s">
        <v>625</v>
      </c>
      <c r="C2410" s="52"/>
      <c r="D2410" s="65"/>
      <c r="E2410" s="92"/>
      <c r="F2410" s="12"/>
      <c r="G2410" s="157"/>
      <c r="H2410" s="12"/>
      <c r="I2410" s="62"/>
      <c r="J2410" s="27"/>
      <c r="K2410" s="62"/>
      <c r="L2410" s="12"/>
      <c r="M2410" s="191"/>
      <c r="N2410" s="130"/>
    </row>
    <row r="2411" spans="1:14" x14ac:dyDescent="0.25">
      <c r="A2411" s="63" t="s">
        <v>570</v>
      </c>
      <c r="B2411" s="71" t="s">
        <v>626</v>
      </c>
      <c r="C2411" s="2">
        <v>4099854069697</v>
      </c>
      <c r="D2411" s="118"/>
      <c r="E2411" s="119"/>
      <c r="F2411" s="25"/>
      <c r="G2411" s="156" t="str">
        <f>HYPERLINK("https://ledvance.com/pt/product-datasheet/251463/238802","Ficha Técnica")</f>
        <v>Ficha Técnica</v>
      </c>
      <c r="H2411" s="15">
        <v>10</v>
      </c>
      <c r="I2411" s="163">
        <v>470</v>
      </c>
      <c r="J2411" s="15">
        <v>4</v>
      </c>
      <c r="K2411" s="163" t="s">
        <v>46</v>
      </c>
      <c r="L2411" s="15">
        <v>4</v>
      </c>
      <c r="M2411" s="193">
        <v>4.3</v>
      </c>
      <c r="N2411" s="173" t="s">
        <v>571</v>
      </c>
    </row>
    <row r="2412" spans="1:14" x14ac:dyDescent="0.25">
      <c r="A2412" s="63" t="s">
        <v>570</v>
      </c>
      <c r="B2412" s="71" t="s">
        <v>627</v>
      </c>
      <c r="C2412" s="2">
        <v>4099854069673</v>
      </c>
      <c r="D2412" s="118"/>
      <c r="E2412" s="119"/>
      <c r="F2412" s="25"/>
      <c r="G2412" s="156" t="str">
        <f>HYPERLINK("https://ledvance.com/pt/product-datasheet/251463/238847","Ficha Técnica")</f>
        <v>Ficha Técnica</v>
      </c>
      <c r="H2412" s="15">
        <v>10</v>
      </c>
      <c r="I2412" s="163">
        <v>470</v>
      </c>
      <c r="J2412" s="15">
        <v>4</v>
      </c>
      <c r="K2412" s="163" t="s">
        <v>46</v>
      </c>
      <c r="L2412" s="15">
        <v>4</v>
      </c>
      <c r="M2412" s="193">
        <v>4.3</v>
      </c>
      <c r="N2412" s="173" t="s">
        <v>571</v>
      </c>
    </row>
    <row r="2413" spans="1:14" x14ac:dyDescent="0.25">
      <c r="A2413" s="63" t="s">
        <v>570</v>
      </c>
      <c r="B2413" s="71" t="s">
        <v>628</v>
      </c>
      <c r="C2413" s="2">
        <v>4099854069758</v>
      </c>
      <c r="D2413" s="118"/>
      <c r="E2413" s="119"/>
      <c r="F2413" s="25"/>
      <c r="G2413" s="156" t="str">
        <f>HYPERLINK("https://ledvance.com/pt/product-datasheet/251463/238820","Ficha Técnica")</f>
        <v>Ficha Técnica</v>
      </c>
      <c r="H2413" s="15">
        <v>10</v>
      </c>
      <c r="I2413" s="163">
        <v>470</v>
      </c>
      <c r="J2413" s="15">
        <v>4</v>
      </c>
      <c r="K2413" s="163" t="s">
        <v>46</v>
      </c>
      <c r="L2413" s="15">
        <v>4</v>
      </c>
      <c r="M2413" s="193">
        <v>4.3</v>
      </c>
      <c r="N2413" s="173" t="s">
        <v>571</v>
      </c>
    </row>
    <row r="2414" spans="1:14" x14ac:dyDescent="0.25">
      <c r="A2414" s="63" t="s">
        <v>570</v>
      </c>
      <c r="B2414" s="71" t="s">
        <v>629</v>
      </c>
      <c r="C2414" s="2">
        <v>4099854062582</v>
      </c>
      <c r="D2414" s="118"/>
      <c r="E2414" s="119"/>
      <c r="F2414" s="25"/>
      <c r="G2414" s="156" t="str">
        <f>HYPERLINK("https://ledvance.com/pt/product-datasheet/251463/237581","Ficha Técnica")</f>
        <v>Ficha Técnica</v>
      </c>
      <c r="H2414" s="15">
        <v>10</v>
      </c>
      <c r="I2414" s="163">
        <v>806</v>
      </c>
      <c r="J2414" s="15" t="s">
        <v>1893</v>
      </c>
      <c r="K2414" s="163" t="s">
        <v>46</v>
      </c>
      <c r="L2414" s="15">
        <v>4</v>
      </c>
      <c r="M2414" s="193">
        <v>4.9000000000000004</v>
      </c>
      <c r="N2414" s="173" t="s">
        <v>571</v>
      </c>
    </row>
    <row r="2415" spans="1:14" x14ac:dyDescent="0.25">
      <c r="A2415" s="63" t="s">
        <v>570</v>
      </c>
      <c r="B2415" s="71" t="s">
        <v>630</v>
      </c>
      <c r="C2415" s="2">
        <v>4099854062667</v>
      </c>
      <c r="D2415" s="118"/>
      <c r="E2415" s="119"/>
      <c r="F2415" s="25"/>
      <c r="G2415" s="156" t="str">
        <f>HYPERLINK("https://ledvance.com/pt/product-datasheet/251463/237631","Ficha Técnica")</f>
        <v>Ficha Técnica</v>
      </c>
      <c r="H2415" s="15">
        <v>10</v>
      </c>
      <c r="I2415" s="163">
        <v>806</v>
      </c>
      <c r="J2415" s="15" t="s">
        <v>1893</v>
      </c>
      <c r="K2415" s="163" t="s">
        <v>46</v>
      </c>
      <c r="L2415" s="15">
        <v>4</v>
      </c>
      <c r="M2415" s="193">
        <v>4.9000000000000004</v>
      </c>
      <c r="N2415" s="173" t="s">
        <v>571</v>
      </c>
    </row>
    <row r="2416" spans="1:14" x14ac:dyDescent="0.25">
      <c r="A2416" s="63" t="s">
        <v>570</v>
      </c>
      <c r="B2416" s="71" t="s">
        <v>631</v>
      </c>
      <c r="C2416" s="2">
        <v>4099854063060</v>
      </c>
      <c r="D2416" s="118"/>
      <c r="E2416" s="119"/>
      <c r="F2416" s="25"/>
      <c r="G2416" s="156" t="str">
        <f>HYPERLINK("https://ledvance.com/pt/product-datasheet/251463/237676","Ficha Técnica")</f>
        <v>Ficha Técnica</v>
      </c>
      <c r="H2416" s="15">
        <v>10</v>
      </c>
      <c r="I2416" s="163">
        <v>806</v>
      </c>
      <c r="J2416" s="15" t="s">
        <v>1893</v>
      </c>
      <c r="K2416" s="163" t="s">
        <v>46</v>
      </c>
      <c r="L2416" s="15">
        <v>4</v>
      </c>
      <c r="M2416" s="193">
        <v>4.9000000000000004</v>
      </c>
      <c r="N2416" s="173" t="s">
        <v>571</v>
      </c>
    </row>
    <row r="2417" spans="1:14" x14ac:dyDescent="0.25">
      <c r="A2417" s="63" t="s">
        <v>570</v>
      </c>
      <c r="B2417" s="71" t="s">
        <v>632</v>
      </c>
      <c r="C2417" s="2">
        <v>4099854062186</v>
      </c>
      <c r="D2417" s="118"/>
      <c r="E2417" s="119"/>
      <c r="F2417" s="25"/>
      <c r="G2417" s="156" t="str">
        <f>HYPERLINK("https://ledvance.com/pt/product-datasheet/251463/237461","Ficha Técnica")</f>
        <v>Ficha Técnica</v>
      </c>
      <c r="H2417" s="15">
        <v>10</v>
      </c>
      <c r="I2417" s="163">
        <v>1055</v>
      </c>
      <c r="J2417" s="15" t="s">
        <v>1854</v>
      </c>
      <c r="K2417" s="163" t="s">
        <v>46</v>
      </c>
      <c r="L2417" s="15">
        <v>4</v>
      </c>
      <c r="M2417" s="193">
        <v>8.3000000000000007</v>
      </c>
      <c r="N2417" s="173" t="s">
        <v>571</v>
      </c>
    </row>
    <row r="2418" spans="1:14" x14ac:dyDescent="0.25">
      <c r="A2418" s="63" t="s">
        <v>570</v>
      </c>
      <c r="B2418" s="71" t="s">
        <v>633</v>
      </c>
      <c r="C2418" s="2">
        <v>4099854062988</v>
      </c>
      <c r="D2418" s="118"/>
      <c r="E2418" s="119"/>
      <c r="F2418" s="25"/>
      <c r="G2418" s="156" t="str">
        <f>HYPERLINK("https://ledvance.com/pt/product-datasheet/251463/237667","Ficha Técnica")</f>
        <v>Ficha Técnica</v>
      </c>
      <c r="H2418" s="15">
        <v>10</v>
      </c>
      <c r="I2418" s="163">
        <v>1055</v>
      </c>
      <c r="J2418" s="15" t="s">
        <v>1854</v>
      </c>
      <c r="K2418" s="163" t="s">
        <v>46</v>
      </c>
      <c r="L2418" s="15">
        <v>4</v>
      </c>
      <c r="M2418" s="193">
        <v>8.3000000000000007</v>
      </c>
      <c r="N2418" s="173" t="s">
        <v>571</v>
      </c>
    </row>
    <row r="2419" spans="1:14" x14ac:dyDescent="0.25">
      <c r="A2419" s="63" t="s">
        <v>570</v>
      </c>
      <c r="B2419" s="71" t="s">
        <v>634</v>
      </c>
      <c r="C2419" s="2">
        <v>4099854069819</v>
      </c>
      <c r="D2419" s="118"/>
      <c r="E2419" s="119"/>
      <c r="F2419" s="25"/>
      <c r="G2419" s="156" t="str">
        <f>HYPERLINK("https://ledvance.com/pt/product-datasheet/251463/238799","Ficha Técnica")</f>
        <v>Ficha Técnica</v>
      </c>
      <c r="H2419" s="15">
        <v>10</v>
      </c>
      <c r="I2419" s="163">
        <v>1521</v>
      </c>
      <c r="J2419" s="15">
        <v>11</v>
      </c>
      <c r="K2419" s="163" t="s">
        <v>46</v>
      </c>
      <c r="L2419" s="15">
        <v>4</v>
      </c>
      <c r="M2419" s="193">
        <v>9.6</v>
      </c>
      <c r="N2419" s="173" t="s">
        <v>571</v>
      </c>
    </row>
    <row r="2420" spans="1:14" x14ac:dyDescent="0.25">
      <c r="A2420" s="63" t="s">
        <v>570</v>
      </c>
      <c r="B2420" s="71" t="s">
        <v>635</v>
      </c>
      <c r="C2420" s="2">
        <v>4099854069772</v>
      </c>
      <c r="D2420" s="118"/>
      <c r="E2420" s="119"/>
      <c r="F2420" s="25"/>
      <c r="G2420" s="156" t="str">
        <f>HYPERLINK("https://ledvance.com/pt/product-datasheet/251463/238856","Ficha Técnica")</f>
        <v>Ficha Técnica</v>
      </c>
      <c r="H2420" s="15">
        <v>10</v>
      </c>
      <c r="I2420" s="163">
        <v>1521</v>
      </c>
      <c r="J2420" s="15">
        <v>11</v>
      </c>
      <c r="K2420" s="163" t="s">
        <v>46</v>
      </c>
      <c r="L2420" s="15">
        <v>4</v>
      </c>
      <c r="M2420" s="193">
        <v>9.6</v>
      </c>
      <c r="N2420" s="173" t="s">
        <v>571</v>
      </c>
    </row>
    <row r="2421" spans="1:14" x14ac:dyDescent="0.25">
      <c r="A2421" s="66" t="s">
        <v>570</v>
      </c>
      <c r="B2421" s="73" t="s">
        <v>636</v>
      </c>
      <c r="C2421" s="52"/>
      <c r="D2421" s="65"/>
      <c r="E2421" s="92"/>
      <c r="F2421" s="12"/>
      <c r="G2421" s="157"/>
      <c r="H2421" s="12"/>
      <c r="I2421" s="62"/>
      <c r="J2421" s="27"/>
      <c r="K2421" s="62"/>
      <c r="L2421" s="12"/>
      <c r="M2421" s="191"/>
      <c r="N2421" s="130"/>
    </row>
    <row r="2422" spans="1:14" x14ac:dyDescent="0.25">
      <c r="A2422" s="63" t="s">
        <v>570</v>
      </c>
      <c r="B2422" s="71" t="s">
        <v>637</v>
      </c>
      <c r="C2422" s="2">
        <v>4099854069659</v>
      </c>
      <c r="D2422" s="118"/>
      <c r="E2422" s="119"/>
      <c r="F2422" s="25"/>
      <c r="G2422" s="156" t="str">
        <f>HYPERLINK("https://ledvance.com/pt/product-datasheet/251463/238829","Ficha Técnica")</f>
        <v>Ficha Técnica</v>
      </c>
      <c r="H2422" s="15">
        <v>10</v>
      </c>
      <c r="I2422" s="163">
        <v>470</v>
      </c>
      <c r="J2422" s="15">
        <v>4</v>
      </c>
      <c r="K2422" s="163" t="s">
        <v>46</v>
      </c>
      <c r="L2422" s="15">
        <v>4</v>
      </c>
      <c r="M2422" s="193">
        <v>4.3</v>
      </c>
      <c r="N2422" s="173" t="s">
        <v>571</v>
      </c>
    </row>
    <row r="2423" spans="1:14" x14ac:dyDescent="0.25">
      <c r="A2423" s="63" t="s">
        <v>570</v>
      </c>
      <c r="B2423" s="71" t="s">
        <v>638</v>
      </c>
      <c r="C2423" s="2">
        <v>4099854069710</v>
      </c>
      <c r="D2423" s="118"/>
      <c r="E2423" s="119"/>
      <c r="F2423" s="25"/>
      <c r="G2423" s="156" t="str">
        <f>HYPERLINK("https://ledvance.com/pt/product-datasheet/251463/238814","Ficha Técnica")</f>
        <v>Ficha Técnica</v>
      </c>
      <c r="H2423" s="15">
        <v>10</v>
      </c>
      <c r="I2423" s="163">
        <v>470</v>
      </c>
      <c r="J2423" s="15">
        <v>4</v>
      </c>
      <c r="K2423" s="163" t="s">
        <v>46</v>
      </c>
      <c r="L2423" s="15">
        <v>4</v>
      </c>
      <c r="M2423" s="193">
        <v>4.3</v>
      </c>
      <c r="N2423" s="173" t="s">
        <v>571</v>
      </c>
    </row>
    <row r="2424" spans="1:14" x14ac:dyDescent="0.25">
      <c r="A2424" s="63" t="s">
        <v>570</v>
      </c>
      <c r="B2424" s="71" t="s">
        <v>639</v>
      </c>
      <c r="C2424" s="2">
        <v>4099854069734</v>
      </c>
      <c r="D2424" s="118"/>
      <c r="E2424" s="119"/>
      <c r="F2424" s="25"/>
      <c r="G2424" s="156" t="str">
        <f>HYPERLINK("https://ledvance.com/pt/product-datasheet/251463/238817","Ficha Técnica")</f>
        <v>Ficha Técnica</v>
      </c>
      <c r="H2424" s="15">
        <v>10</v>
      </c>
      <c r="I2424" s="163">
        <v>470</v>
      </c>
      <c r="J2424" s="15">
        <v>4</v>
      </c>
      <c r="K2424" s="163" t="s">
        <v>46</v>
      </c>
      <c r="L2424" s="15">
        <v>4</v>
      </c>
      <c r="M2424" s="193">
        <v>4.8</v>
      </c>
      <c r="N2424" s="173" t="s">
        <v>571</v>
      </c>
    </row>
    <row r="2425" spans="1:14" x14ac:dyDescent="0.25">
      <c r="A2425" s="63" t="s">
        <v>570</v>
      </c>
      <c r="B2425" s="71" t="s">
        <v>640</v>
      </c>
      <c r="C2425" s="2">
        <v>4099854062421</v>
      </c>
      <c r="D2425" s="118"/>
      <c r="E2425" s="119"/>
      <c r="F2425" s="25"/>
      <c r="G2425" s="156" t="str">
        <f>HYPERLINK("https://ledvance.com/pt/product-datasheet/251463/237539","Ficha Técnica")</f>
        <v>Ficha Técnica</v>
      </c>
      <c r="H2425" s="15">
        <v>10</v>
      </c>
      <c r="I2425" s="163">
        <v>806</v>
      </c>
      <c r="J2425" s="15" t="s">
        <v>1893</v>
      </c>
      <c r="K2425" s="163" t="s">
        <v>46</v>
      </c>
      <c r="L2425" s="15">
        <v>4</v>
      </c>
      <c r="M2425" s="193">
        <v>4.9000000000000004</v>
      </c>
      <c r="N2425" s="173" t="s">
        <v>571</v>
      </c>
    </row>
    <row r="2426" spans="1:14" x14ac:dyDescent="0.25">
      <c r="A2426" s="63" t="s">
        <v>570</v>
      </c>
      <c r="B2426" s="71" t="s">
        <v>641</v>
      </c>
      <c r="C2426" s="2">
        <v>4099854062469</v>
      </c>
      <c r="D2426" s="118"/>
      <c r="E2426" s="119"/>
      <c r="F2426" s="25"/>
      <c r="G2426" s="156" t="str">
        <f>HYPERLINK("https://ledvance.com/pt/product-datasheet/251463/237560","Ficha Técnica")</f>
        <v>Ficha Técnica</v>
      </c>
      <c r="H2426" s="15">
        <v>10</v>
      </c>
      <c r="I2426" s="163">
        <v>806</v>
      </c>
      <c r="J2426" s="15" t="s">
        <v>1893</v>
      </c>
      <c r="K2426" s="163" t="s">
        <v>46</v>
      </c>
      <c r="L2426" s="15">
        <v>4</v>
      </c>
      <c r="M2426" s="193">
        <v>4.9000000000000004</v>
      </c>
      <c r="N2426" s="173" t="s">
        <v>571</v>
      </c>
    </row>
    <row r="2427" spans="1:14" x14ac:dyDescent="0.25">
      <c r="A2427" s="63" t="s">
        <v>570</v>
      </c>
      <c r="B2427" s="71" t="s">
        <v>642</v>
      </c>
      <c r="C2427" s="2">
        <v>4099854062704</v>
      </c>
      <c r="D2427" s="118"/>
      <c r="E2427" s="119"/>
      <c r="F2427" s="25"/>
      <c r="G2427" s="156" t="str">
        <f>HYPERLINK("https://ledvance.com/pt/product-datasheet/251463/237610","Ficha Técnica")</f>
        <v>Ficha Técnica</v>
      </c>
      <c r="H2427" s="15">
        <v>10</v>
      </c>
      <c r="I2427" s="163">
        <v>806</v>
      </c>
      <c r="J2427" s="15" t="s">
        <v>1893</v>
      </c>
      <c r="K2427" s="163" t="s">
        <v>46</v>
      </c>
      <c r="L2427" s="15">
        <v>4</v>
      </c>
      <c r="M2427" s="193">
        <v>4.9000000000000004</v>
      </c>
      <c r="N2427" s="173" t="s">
        <v>571</v>
      </c>
    </row>
    <row r="2428" spans="1:14" x14ac:dyDescent="0.25">
      <c r="A2428" s="63" t="s">
        <v>570</v>
      </c>
      <c r="B2428" s="71" t="s">
        <v>643</v>
      </c>
      <c r="C2428" s="2">
        <v>4099854062049</v>
      </c>
      <c r="D2428" s="118"/>
      <c r="E2428" s="119"/>
      <c r="F2428" s="25"/>
      <c r="G2428" s="156" t="str">
        <f>HYPERLINK("https://ledvance.com/pt/product-datasheet/251463/237531","Ficha Técnica")</f>
        <v>Ficha Técnica</v>
      </c>
      <c r="H2428" s="15">
        <v>10</v>
      </c>
      <c r="I2428" s="163">
        <v>1055</v>
      </c>
      <c r="J2428" s="15" t="s">
        <v>1854</v>
      </c>
      <c r="K2428" s="163" t="s">
        <v>46</v>
      </c>
      <c r="L2428" s="15">
        <v>4</v>
      </c>
      <c r="M2428" s="193">
        <v>7.8</v>
      </c>
      <c r="N2428" s="173" t="s">
        <v>571</v>
      </c>
    </row>
    <row r="2429" spans="1:14" x14ac:dyDescent="0.25">
      <c r="A2429" s="63" t="s">
        <v>570</v>
      </c>
      <c r="B2429" s="71" t="s">
        <v>644</v>
      </c>
      <c r="C2429" s="2">
        <v>4099854062025</v>
      </c>
      <c r="D2429" s="118"/>
      <c r="E2429" s="119"/>
      <c r="F2429" s="25"/>
      <c r="G2429" s="156" t="str">
        <f>HYPERLINK("https://ledvance.com/pt/product-datasheet/251463/237507","Ficha Técnica")</f>
        <v>Ficha Técnica</v>
      </c>
      <c r="H2429" s="15">
        <v>10</v>
      </c>
      <c r="I2429" s="163">
        <v>1055</v>
      </c>
      <c r="J2429" s="15" t="s">
        <v>1854</v>
      </c>
      <c r="K2429" s="163" t="s">
        <v>46</v>
      </c>
      <c r="L2429" s="15">
        <v>4</v>
      </c>
      <c r="M2429" s="193">
        <v>7.8</v>
      </c>
      <c r="N2429" s="173" t="s">
        <v>571</v>
      </c>
    </row>
    <row r="2430" spans="1:14" x14ac:dyDescent="0.25">
      <c r="A2430" s="63" t="s">
        <v>570</v>
      </c>
      <c r="B2430" s="71" t="s">
        <v>645</v>
      </c>
      <c r="C2430" s="2">
        <v>4099854069796</v>
      </c>
      <c r="D2430" s="118"/>
      <c r="E2430" s="119"/>
      <c r="F2430" s="25"/>
      <c r="G2430" s="156" t="str">
        <f>HYPERLINK("https://ledvance.com/pt/product-datasheet/251463/238796","Ficha Técnica")</f>
        <v>Ficha Técnica</v>
      </c>
      <c r="H2430" s="15">
        <v>10</v>
      </c>
      <c r="I2430" s="163">
        <v>1521</v>
      </c>
      <c r="J2430" s="15">
        <v>11</v>
      </c>
      <c r="K2430" s="163" t="s">
        <v>46</v>
      </c>
      <c r="L2430" s="15">
        <v>4</v>
      </c>
      <c r="M2430" s="193">
        <v>9.6</v>
      </c>
      <c r="N2430" s="173" t="s">
        <v>571</v>
      </c>
    </row>
    <row r="2431" spans="1:14" x14ac:dyDescent="0.25">
      <c r="A2431" s="63" t="s">
        <v>570</v>
      </c>
      <c r="B2431" s="71" t="s">
        <v>646</v>
      </c>
      <c r="C2431" s="2">
        <v>4099854069833</v>
      </c>
      <c r="D2431" s="118"/>
      <c r="E2431" s="119"/>
      <c r="F2431" s="25"/>
      <c r="G2431" s="156" t="str">
        <f>HYPERLINK("https://ledvance.com/pt/product-datasheet/251463/238805","Ficha Técnica")</f>
        <v>Ficha Técnica</v>
      </c>
      <c r="H2431" s="15">
        <v>10</v>
      </c>
      <c r="I2431" s="163">
        <v>2452</v>
      </c>
      <c r="J2431" s="15">
        <v>17</v>
      </c>
      <c r="K2431" s="163" t="s">
        <v>46</v>
      </c>
      <c r="L2431" s="15">
        <v>4</v>
      </c>
      <c r="M2431" s="193">
        <v>23.5</v>
      </c>
      <c r="N2431" s="173" t="s">
        <v>571</v>
      </c>
    </row>
    <row r="2432" spans="1:14" x14ac:dyDescent="0.25">
      <c r="A2432" s="63" t="s">
        <v>570</v>
      </c>
      <c r="B2432" s="71" t="s">
        <v>647</v>
      </c>
      <c r="C2432" s="2">
        <v>4099854069857</v>
      </c>
      <c r="D2432" s="118"/>
      <c r="E2432" s="119"/>
      <c r="F2432" s="25"/>
      <c r="G2432" s="156" t="str">
        <f>HYPERLINK("https://ledvance.com/pt/product-datasheet/251463/238808","Ficha Técnica")</f>
        <v>Ficha Técnica</v>
      </c>
      <c r="H2432" s="15">
        <v>10</v>
      </c>
      <c r="I2432" s="163">
        <v>2452</v>
      </c>
      <c r="J2432" s="15">
        <v>17</v>
      </c>
      <c r="K2432" s="163" t="s">
        <v>46</v>
      </c>
      <c r="L2432" s="15">
        <v>4</v>
      </c>
      <c r="M2432" s="193">
        <v>23.5</v>
      </c>
      <c r="N2432" s="173" t="s">
        <v>571</v>
      </c>
    </row>
    <row r="2433" spans="1:14" x14ac:dyDescent="0.25">
      <c r="A2433" s="63" t="s">
        <v>570</v>
      </c>
      <c r="B2433" s="71" t="s">
        <v>648</v>
      </c>
      <c r="C2433" s="2">
        <v>4099854069895</v>
      </c>
      <c r="D2433" s="118"/>
      <c r="E2433" s="119"/>
      <c r="F2433" s="25"/>
      <c r="G2433" s="156" t="str">
        <f>HYPERLINK("https://ledvance.com/pt/product-datasheet/251463/238850","Ficha Técnica")</f>
        <v>Ficha Técnica</v>
      </c>
      <c r="H2433" s="15">
        <v>4</v>
      </c>
      <c r="I2433" s="163">
        <v>3452</v>
      </c>
      <c r="J2433" s="15">
        <v>24</v>
      </c>
      <c r="K2433" s="163" t="s">
        <v>46</v>
      </c>
      <c r="L2433" s="15">
        <v>4</v>
      </c>
      <c r="M2433" s="193">
        <v>32.700000000000003</v>
      </c>
      <c r="N2433" s="173" t="s">
        <v>571</v>
      </c>
    </row>
    <row r="2434" spans="1:14" x14ac:dyDescent="0.25">
      <c r="A2434" s="63" t="s">
        <v>570</v>
      </c>
      <c r="B2434" s="71" t="s">
        <v>649</v>
      </c>
      <c r="C2434" s="2">
        <v>4099854069918</v>
      </c>
      <c r="D2434" s="118"/>
      <c r="E2434" s="119"/>
      <c r="F2434" s="25"/>
      <c r="G2434" s="156" t="str">
        <f>HYPERLINK("https://ledvance.com/pt/product-datasheet/251463/238853","Ficha Técnica")</f>
        <v>Ficha Técnica</v>
      </c>
      <c r="H2434" s="15">
        <v>4</v>
      </c>
      <c r="I2434" s="163">
        <v>3452</v>
      </c>
      <c r="J2434" s="15">
        <v>24</v>
      </c>
      <c r="K2434" s="163" t="s">
        <v>46</v>
      </c>
      <c r="L2434" s="15">
        <v>4</v>
      </c>
      <c r="M2434" s="193">
        <v>32.700000000000003</v>
      </c>
      <c r="N2434" s="173" t="s">
        <v>571</v>
      </c>
    </row>
    <row r="2435" spans="1:14" x14ac:dyDescent="0.25">
      <c r="A2435" s="66" t="s">
        <v>570</v>
      </c>
      <c r="B2435" s="73" t="s">
        <v>650</v>
      </c>
      <c r="C2435" s="52"/>
      <c r="D2435" s="65"/>
      <c r="E2435" s="92"/>
      <c r="F2435" s="12"/>
      <c r="G2435" s="157"/>
      <c r="H2435" s="12"/>
      <c r="I2435" s="62"/>
      <c r="J2435" s="27"/>
      <c r="K2435" s="62"/>
      <c r="L2435" s="12"/>
      <c r="M2435" s="191"/>
      <c r="N2435" s="130"/>
    </row>
    <row r="2436" spans="1:14" x14ac:dyDescent="0.25">
      <c r="A2436" s="63" t="s">
        <v>570</v>
      </c>
      <c r="B2436" s="71" t="s">
        <v>651</v>
      </c>
      <c r="C2436" s="2">
        <v>4099854067532</v>
      </c>
      <c r="D2436" s="118"/>
      <c r="E2436" s="119"/>
      <c r="F2436" s="25"/>
      <c r="G2436" s="156" t="str">
        <f>HYPERLINK("https://ledvance.com/pt/product-datasheet/251437/238308","Ficha Técnica")</f>
        <v>Ficha Técnica</v>
      </c>
      <c r="H2436" s="15">
        <v>10</v>
      </c>
      <c r="I2436" s="163">
        <v>470</v>
      </c>
      <c r="J2436" s="15" t="s">
        <v>1892</v>
      </c>
      <c r="K2436" s="163" t="s">
        <v>46</v>
      </c>
      <c r="L2436" s="15">
        <v>5</v>
      </c>
      <c r="M2436" s="193">
        <v>7.3</v>
      </c>
      <c r="N2436" s="173" t="s">
        <v>571</v>
      </c>
    </row>
    <row r="2437" spans="1:14" x14ac:dyDescent="0.25">
      <c r="A2437" s="63" t="s">
        <v>570</v>
      </c>
      <c r="B2437" s="71" t="s">
        <v>652</v>
      </c>
      <c r="C2437" s="2">
        <v>4099854067495</v>
      </c>
      <c r="D2437" s="118"/>
      <c r="E2437" s="119"/>
      <c r="F2437" s="25"/>
      <c r="G2437" s="156" t="str">
        <f>HYPERLINK("https://ledvance.com/pt/product-datasheet/251437/238320","Ficha Técnica")</f>
        <v>Ficha Técnica</v>
      </c>
      <c r="H2437" s="15">
        <v>10</v>
      </c>
      <c r="I2437" s="163">
        <v>470</v>
      </c>
      <c r="J2437" s="15" t="s">
        <v>1892</v>
      </c>
      <c r="K2437" s="163" t="s">
        <v>46</v>
      </c>
      <c r="L2437" s="15">
        <v>5</v>
      </c>
      <c r="M2437" s="193">
        <v>7.3</v>
      </c>
      <c r="N2437" s="173" t="s">
        <v>571</v>
      </c>
    </row>
    <row r="2438" spans="1:14" x14ac:dyDescent="0.25">
      <c r="A2438" s="66" t="s">
        <v>570</v>
      </c>
      <c r="B2438" s="73" t="s">
        <v>653</v>
      </c>
      <c r="C2438" s="52"/>
      <c r="D2438" s="65"/>
      <c r="E2438" s="92"/>
      <c r="F2438" s="12"/>
      <c r="G2438" s="157"/>
      <c r="H2438" s="12"/>
      <c r="I2438" s="62"/>
      <c r="J2438" s="27"/>
      <c r="K2438" s="62"/>
      <c r="L2438" s="12"/>
      <c r="M2438" s="191"/>
      <c r="N2438" s="130"/>
    </row>
    <row r="2439" spans="1:14" x14ac:dyDescent="0.25">
      <c r="A2439" s="63" t="s">
        <v>570</v>
      </c>
      <c r="B2439" s="71" t="s">
        <v>654</v>
      </c>
      <c r="C2439" s="2">
        <v>4099854067556</v>
      </c>
      <c r="D2439" s="118"/>
      <c r="E2439" s="119"/>
      <c r="F2439" s="25"/>
      <c r="G2439" s="156" t="str">
        <f>HYPERLINK("https://ledvance.com/pt/product-datasheet/251437/238314","Ficha Técnica")</f>
        <v>Ficha Técnica</v>
      </c>
      <c r="H2439" s="15">
        <v>10</v>
      </c>
      <c r="I2439" s="163">
        <v>470</v>
      </c>
      <c r="J2439" s="15" t="s">
        <v>1892</v>
      </c>
      <c r="K2439" s="163" t="s">
        <v>46</v>
      </c>
      <c r="L2439" s="15">
        <v>5</v>
      </c>
      <c r="M2439" s="193">
        <v>7.3</v>
      </c>
      <c r="N2439" s="173" t="s">
        <v>571</v>
      </c>
    </row>
    <row r="2440" spans="1:14" x14ac:dyDescent="0.25">
      <c r="A2440" s="63" t="s">
        <v>570</v>
      </c>
      <c r="B2440" s="71" t="s">
        <v>1465</v>
      </c>
      <c r="C2440" s="2">
        <v>4099854253386</v>
      </c>
      <c r="D2440" s="95">
        <v>4099854060533</v>
      </c>
      <c r="E2440" s="96" t="s">
        <v>1335</v>
      </c>
      <c r="G2440" s="156" t="str">
        <f>HYPERLINK("https://ledvance.com/pt/product-datasheet/251437/289865","Ficha Técnica")</f>
        <v>Ficha Técnica</v>
      </c>
      <c r="H2440" s="15">
        <v>10</v>
      </c>
      <c r="I2440" s="163">
        <v>806</v>
      </c>
      <c r="J2440" s="15" t="s">
        <v>1894</v>
      </c>
      <c r="K2440" s="163" t="s">
        <v>46</v>
      </c>
      <c r="L2440" s="15">
        <v>5</v>
      </c>
      <c r="M2440" s="193">
        <v>11.6</v>
      </c>
      <c r="N2440" s="173" t="s">
        <v>571</v>
      </c>
    </row>
    <row r="2441" spans="1:14" x14ac:dyDescent="0.25">
      <c r="A2441" s="63" t="s">
        <v>570</v>
      </c>
      <c r="B2441" s="71" t="s">
        <v>655</v>
      </c>
      <c r="C2441" s="2">
        <v>4099854067518</v>
      </c>
      <c r="D2441" s="118"/>
      <c r="E2441" s="119"/>
      <c r="F2441" s="25"/>
      <c r="G2441" s="156" t="str">
        <f>HYPERLINK("https://ledvance.com/pt/product-datasheet/251437/238326","Ficha Técnica")</f>
        <v>Ficha Técnica</v>
      </c>
      <c r="H2441" s="15">
        <v>10</v>
      </c>
      <c r="I2441" s="163">
        <v>470</v>
      </c>
      <c r="J2441" s="15" t="s">
        <v>1892</v>
      </c>
      <c r="K2441" s="163" t="s">
        <v>46</v>
      </c>
      <c r="L2441" s="15">
        <v>5</v>
      </c>
      <c r="M2441" s="193">
        <v>7.3</v>
      </c>
      <c r="N2441" s="173" t="s">
        <v>571</v>
      </c>
    </row>
    <row r="2442" spans="1:14" x14ac:dyDescent="0.25">
      <c r="A2442" s="66" t="s">
        <v>570</v>
      </c>
      <c r="B2442" s="73" t="s">
        <v>656</v>
      </c>
      <c r="C2442" s="52"/>
      <c r="D2442" s="65"/>
      <c r="E2442" s="92"/>
      <c r="F2442" s="12"/>
      <c r="G2442" s="157"/>
      <c r="H2442" s="12"/>
      <c r="I2442" s="62"/>
      <c r="J2442" s="27"/>
      <c r="K2442" s="62"/>
      <c r="L2442" s="12"/>
      <c r="M2442" s="191"/>
      <c r="N2442" s="130"/>
    </row>
    <row r="2443" spans="1:14" x14ac:dyDescent="0.25">
      <c r="A2443" s="63" t="s">
        <v>570</v>
      </c>
      <c r="B2443" s="71" t="s">
        <v>657</v>
      </c>
      <c r="C2443" s="2">
        <v>4099854069451</v>
      </c>
      <c r="D2443" s="118"/>
      <c r="E2443" s="119"/>
      <c r="F2443" s="25"/>
      <c r="G2443" s="156" t="str">
        <f>HYPERLINK("https://ledvance.com/pt/product-datasheet/251468/238784","Ficha Técnica")</f>
        <v>Ficha Técnica</v>
      </c>
      <c r="H2443" s="15">
        <v>10</v>
      </c>
      <c r="I2443" s="163">
        <v>250</v>
      </c>
      <c r="J2443" s="15" t="s">
        <v>1895</v>
      </c>
      <c r="K2443" s="163" t="s">
        <v>46</v>
      </c>
      <c r="L2443" s="15">
        <v>4</v>
      </c>
      <c r="M2443" s="193">
        <v>3.6</v>
      </c>
      <c r="N2443" s="173" t="s">
        <v>571</v>
      </c>
    </row>
    <row r="2444" spans="1:14" x14ac:dyDescent="0.25">
      <c r="A2444" s="63" t="s">
        <v>570</v>
      </c>
      <c r="B2444" s="71" t="s">
        <v>658</v>
      </c>
      <c r="C2444" s="2">
        <v>4099854069376</v>
      </c>
      <c r="D2444" s="118"/>
      <c r="E2444" s="119"/>
      <c r="F2444" s="25"/>
      <c r="G2444" s="156" t="str">
        <f>HYPERLINK("https://ledvance.com/pt/product-datasheet/251468/238757","Ficha Técnica")</f>
        <v>Ficha Técnica</v>
      </c>
      <c r="H2444" s="15">
        <v>10</v>
      </c>
      <c r="I2444" s="163">
        <v>250</v>
      </c>
      <c r="J2444" s="15" t="s">
        <v>1895</v>
      </c>
      <c r="K2444" s="163" t="s">
        <v>46</v>
      </c>
      <c r="L2444" s="15">
        <v>4</v>
      </c>
      <c r="M2444" s="193">
        <v>3.6</v>
      </c>
      <c r="N2444" s="173" t="s">
        <v>571</v>
      </c>
    </row>
    <row r="2445" spans="1:14" x14ac:dyDescent="0.25">
      <c r="A2445" s="63" t="s">
        <v>570</v>
      </c>
      <c r="B2445" s="71" t="s">
        <v>659</v>
      </c>
      <c r="C2445" s="2">
        <v>4099854069413</v>
      </c>
      <c r="D2445" s="118"/>
      <c r="E2445" s="119"/>
      <c r="F2445" s="25"/>
      <c r="G2445" s="156" t="str">
        <f>HYPERLINK("https://ledvance.com/pt/product-datasheet/251468/238772","Ficha Técnica")</f>
        <v>Ficha Técnica</v>
      </c>
      <c r="H2445" s="15">
        <v>10</v>
      </c>
      <c r="I2445" s="163">
        <v>470</v>
      </c>
      <c r="J2445" s="15">
        <v>4</v>
      </c>
      <c r="K2445" s="163" t="s">
        <v>46</v>
      </c>
      <c r="L2445" s="15">
        <v>4</v>
      </c>
      <c r="M2445" s="193">
        <v>4.5</v>
      </c>
      <c r="N2445" s="173" t="s">
        <v>571</v>
      </c>
    </row>
    <row r="2446" spans="1:14" x14ac:dyDescent="0.25">
      <c r="A2446" s="63" t="s">
        <v>570</v>
      </c>
      <c r="B2446" s="71" t="s">
        <v>660</v>
      </c>
      <c r="C2446" s="2">
        <v>4099854069314</v>
      </c>
      <c r="D2446" s="118"/>
      <c r="E2446" s="119"/>
      <c r="F2446" s="25"/>
      <c r="G2446" s="156" t="str">
        <f>HYPERLINK("https://ledvance.com/pt/product-datasheet/251468/238844","Ficha Técnica")</f>
        <v>Ficha Técnica</v>
      </c>
      <c r="H2446" s="15">
        <v>10</v>
      </c>
      <c r="I2446" s="163">
        <v>470</v>
      </c>
      <c r="J2446" s="15">
        <v>4</v>
      </c>
      <c r="K2446" s="163" t="s">
        <v>46</v>
      </c>
      <c r="L2446" s="15">
        <v>4</v>
      </c>
      <c r="M2446" s="193">
        <v>4.5</v>
      </c>
      <c r="N2446" s="173" t="s">
        <v>571</v>
      </c>
    </row>
    <row r="2447" spans="1:14" x14ac:dyDescent="0.25">
      <c r="A2447" s="63" t="s">
        <v>570</v>
      </c>
      <c r="B2447" s="71" t="s">
        <v>661</v>
      </c>
      <c r="C2447" s="2">
        <v>4099854069277</v>
      </c>
      <c r="D2447" s="118"/>
      <c r="E2447" s="119"/>
      <c r="F2447" s="25"/>
      <c r="G2447" s="156" t="str">
        <f>HYPERLINK("https://ledvance.com/pt/product-datasheet/251468/238838","Ficha Técnica")</f>
        <v>Ficha Técnica</v>
      </c>
      <c r="H2447" s="15">
        <v>10</v>
      </c>
      <c r="I2447" s="163">
        <v>470</v>
      </c>
      <c r="J2447" s="15">
        <v>4</v>
      </c>
      <c r="K2447" s="163" t="s">
        <v>46</v>
      </c>
      <c r="L2447" s="15">
        <v>4</v>
      </c>
      <c r="M2447" s="193">
        <v>5.0999999999999996</v>
      </c>
      <c r="N2447" s="173" t="s">
        <v>571</v>
      </c>
    </row>
    <row r="2448" spans="1:14" x14ac:dyDescent="0.25">
      <c r="A2448" s="63" t="s">
        <v>570</v>
      </c>
      <c r="B2448" s="71" t="s">
        <v>662</v>
      </c>
      <c r="C2448" s="2">
        <v>4099854069291</v>
      </c>
      <c r="D2448" s="118"/>
      <c r="E2448" s="119"/>
      <c r="F2448" s="25"/>
      <c r="G2448" s="156" t="str">
        <f>HYPERLINK("https://ledvance.com/pt/product-datasheet/251468/238841","Ficha Técnica")</f>
        <v>Ficha Técnica</v>
      </c>
      <c r="H2448" s="15">
        <v>10</v>
      </c>
      <c r="I2448" s="163">
        <v>470</v>
      </c>
      <c r="J2448" s="15">
        <v>4</v>
      </c>
      <c r="K2448" s="163" t="s">
        <v>46</v>
      </c>
      <c r="L2448" s="15">
        <v>4</v>
      </c>
      <c r="M2448" s="193">
        <v>5.0999999999999996</v>
      </c>
      <c r="N2448" s="173" t="s">
        <v>571</v>
      </c>
    </row>
    <row r="2449" spans="1:14" x14ac:dyDescent="0.25">
      <c r="A2449" s="63" t="s">
        <v>570</v>
      </c>
      <c r="B2449" s="71" t="s">
        <v>663</v>
      </c>
      <c r="C2449" s="2">
        <v>4099854069475</v>
      </c>
      <c r="D2449" s="118"/>
      <c r="E2449" s="119"/>
      <c r="F2449" s="25"/>
      <c r="G2449" s="156" t="str">
        <f>HYPERLINK("https://ledvance.com/pt/product-datasheet/251479/238754","Ficha Técnica")</f>
        <v>Ficha Técnica</v>
      </c>
      <c r="H2449" s="15">
        <v>10</v>
      </c>
      <c r="I2449" s="163">
        <v>470</v>
      </c>
      <c r="J2449" s="15">
        <v>4</v>
      </c>
      <c r="K2449" s="163" t="s">
        <v>46</v>
      </c>
      <c r="L2449" s="15">
        <v>4</v>
      </c>
      <c r="M2449" s="193">
        <v>5.0999999999999996</v>
      </c>
      <c r="N2449" s="173" t="s">
        <v>571</v>
      </c>
    </row>
    <row r="2450" spans="1:14" x14ac:dyDescent="0.25">
      <c r="A2450" s="63" t="s">
        <v>570</v>
      </c>
      <c r="B2450" s="71" t="s">
        <v>3829</v>
      </c>
      <c r="C2450" s="2">
        <v>4099854069352</v>
      </c>
      <c r="D2450" s="118"/>
      <c r="E2450" s="119"/>
      <c r="F2450" s="25"/>
      <c r="G2450" s="156" t="str">
        <f>HYPERLINK("https://ledvance.com/pt/product-datasheet/251481/238751","Ficha Técnica")</f>
        <v>Ficha Técnica</v>
      </c>
      <c r="H2450" s="15">
        <v>10</v>
      </c>
      <c r="I2450" s="163">
        <v>470</v>
      </c>
      <c r="J2450" s="15">
        <v>4</v>
      </c>
      <c r="K2450" s="163" t="s">
        <v>46</v>
      </c>
      <c r="L2450" s="15">
        <v>4</v>
      </c>
      <c r="M2450" s="193">
        <v>5.0999999999999996</v>
      </c>
      <c r="N2450" s="173" t="s">
        <v>571</v>
      </c>
    </row>
    <row r="2451" spans="1:14" x14ac:dyDescent="0.25">
      <c r="A2451" s="63" t="s">
        <v>570</v>
      </c>
      <c r="B2451" s="71" t="s">
        <v>664</v>
      </c>
      <c r="C2451" s="2">
        <v>4099854062308</v>
      </c>
      <c r="D2451" s="118"/>
      <c r="E2451" s="119"/>
      <c r="F2451" s="25"/>
      <c r="G2451" s="156" t="str">
        <f>HYPERLINK("https://ledvance.com/pt/product-datasheet/251468/237497","Ficha Técnica")</f>
        <v>Ficha Técnica</v>
      </c>
      <c r="H2451" s="15">
        <v>10</v>
      </c>
      <c r="I2451" s="163">
        <v>806</v>
      </c>
      <c r="J2451" s="15" t="s">
        <v>1879</v>
      </c>
      <c r="K2451" s="163" t="s">
        <v>46</v>
      </c>
      <c r="L2451" s="15">
        <v>4</v>
      </c>
      <c r="M2451" s="193">
        <v>8.5</v>
      </c>
      <c r="N2451" s="173" t="s">
        <v>571</v>
      </c>
    </row>
    <row r="2452" spans="1:14" x14ac:dyDescent="0.25">
      <c r="A2452" s="66" t="s">
        <v>570</v>
      </c>
      <c r="B2452" s="73" t="s">
        <v>665</v>
      </c>
      <c r="C2452" s="52"/>
      <c r="D2452" s="65"/>
      <c r="E2452" s="92"/>
      <c r="F2452" s="12"/>
      <c r="G2452" s="157"/>
      <c r="H2452" s="12"/>
      <c r="I2452" s="62"/>
      <c r="J2452" s="27"/>
      <c r="K2452" s="62"/>
      <c r="L2452" s="12"/>
      <c r="M2452" s="191"/>
      <c r="N2452" s="130"/>
    </row>
    <row r="2453" spans="1:14" x14ac:dyDescent="0.25">
      <c r="A2453" s="63" t="s">
        <v>570</v>
      </c>
      <c r="B2453" s="71" t="s">
        <v>666</v>
      </c>
      <c r="C2453" s="2">
        <v>4099854069437</v>
      </c>
      <c r="D2453" s="118"/>
      <c r="E2453" s="119"/>
      <c r="F2453" s="25"/>
      <c r="G2453" s="156" t="str">
        <f>HYPERLINK("https://ledvance.com/pt/product-datasheet/251468/238781","Ficha Técnica")</f>
        <v>Ficha Técnica</v>
      </c>
      <c r="H2453" s="15">
        <v>10</v>
      </c>
      <c r="I2453" s="163">
        <v>250</v>
      </c>
      <c r="J2453" s="15" t="s">
        <v>1895</v>
      </c>
      <c r="K2453" s="163" t="s">
        <v>46</v>
      </c>
      <c r="L2453" s="15">
        <v>4</v>
      </c>
      <c r="M2453" s="193">
        <v>3.6</v>
      </c>
      <c r="N2453" s="173" t="s">
        <v>571</v>
      </c>
    </row>
    <row r="2454" spans="1:14" x14ac:dyDescent="0.25">
      <c r="A2454" s="63" t="s">
        <v>570</v>
      </c>
      <c r="B2454" s="71" t="s">
        <v>667</v>
      </c>
      <c r="C2454" s="2">
        <v>4099854069338</v>
      </c>
      <c r="D2454" s="118"/>
      <c r="E2454" s="119"/>
      <c r="F2454" s="25"/>
      <c r="G2454" s="156" t="str">
        <f>HYPERLINK("https://ledvance.com/pt/product-datasheet/251468/238811","Ficha Técnica")</f>
        <v>Ficha Técnica</v>
      </c>
      <c r="H2454" s="15">
        <v>10</v>
      </c>
      <c r="I2454" s="163">
        <v>470</v>
      </c>
      <c r="J2454" s="15">
        <v>4</v>
      </c>
      <c r="K2454" s="163" t="s">
        <v>46</v>
      </c>
      <c r="L2454" s="15">
        <v>4</v>
      </c>
      <c r="M2454" s="193">
        <v>4.3</v>
      </c>
      <c r="N2454" s="173" t="s">
        <v>571</v>
      </c>
    </row>
    <row r="2455" spans="1:14" x14ac:dyDescent="0.25">
      <c r="A2455" s="63" t="s">
        <v>570</v>
      </c>
      <c r="B2455" s="71" t="s">
        <v>668</v>
      </c>
      <c r="C2455" s="2">
        <v>4099854069390</v>
      </c>
      <c r="D2455" s="118"/>
      <c r="E2455" s="119"/>
      <c r="F2455" s="25"/>
      <c r="G2455" s="156" t="str">
        <f>HYPERLINK("https://ledvance.com/pt/product-datasheet/251468/238763","Ficha Técnica")</f>
        <v>Ficha Técnica</v>
      </c>
      <c r="H2455" s="15">
        <v>10</v>
      </c>
      <c r="I2455" s="163">
        <v>470</v>
      </c>
      <c r="J2455" s="15">
        <v>4</v>
      </c>
      <c r="K2455" s="163" t="s">
        <v>46</v>
      </c>
      <c r="L2455" s="15">
        <v>4</v>
      </c>
      <c r="M2455" s="193">
        <v>4.3</v>
      </c>
      <c r="N2455" s="173" t="s">
        <v>571</v>
      </c>
    </row>
    <row r="2456" spans="1:14" x14ac:dyDescent="0.25">
      <c r="A2456" s="63" t="s">
        <v>570</v>
      </c>
      <c r="B2456" s="71" t="s">
        <v>669</v>
      </c>
      <c r="C2456" s="2">
        <v>4099854062346</v>
      </c>
      <c r="D2456" s="118"/>
      <c r="E2456" s="119"/>
      <c r="F2456" s="25"/>
      <c r="G2456" s="156" t="str">
        <f>HYPERLINK("https://ledvance.com/pt/product-datasheet/251468/237503","Ficha Técnica")</f>
        <v>Ficha Técnica</v>
      </c>
      <c r="H2456" s="15">
        <v>10</v>
      </c>
      <c r="I2456" s="163">
        <v>806</v>
      </c>
      <c r="J2456" s="15" t="s">
        <v>1879</v>
      </c>
      <c r="K2456" s="163" t="s">
        <v>46</v>
      </c>
      <c r="L2456" s="15">
        <v>4</v>
      </c>
      <c r="M2456" s="193">
        <v>8</v>
      </c>
      <c r="N2456" s="173" t="s">
        <v>571</v>
      </c>
    </row>
    <row r="2457" spans="1:14" x14ac:dyDescent="0.25">
      <c r="A2457" s="66" t="s">
        <v>570</v>
      </c>
      <c r="B2457" s="73" t="s">
        <v>670</v>
      </c>
      <c r="C2457" s="52"/>
      <c r="D2457" s="65"/>
      <c r="E2457" s="92"/>
      <c r="F2457" s="12"/>
      <c r="G2457" s="157"/>
      <c r="H2457" s="12"/>
      <c r="I2457" s="62"/>
      <c r="J2457" s="27"/>
      <c r="K2457" s="62"/>
      <c r="L2457" s="12"/>
      <c r="M2457" s="191"/>
      <c r="N2457" s="130"/>
    </row>
    <row r="2458" spans="1:14" x14ac:dyDescent="0.25">
      <c r="A2458" s="63" t="s">
        <v>570</v>
      </c>
      <c r="B2458" s="71" t="s">
        <v>671</v>
      </c>
      <c r="C2458" s="2">
        <v>4099854067570</v>
      </c>
      <c r="D2458" s="118"/>
      <c r="E2458" s="119"/>
      <c r="F2458" s="25"/>
      <c r="G2458" s="156" t="str">
        <f>HYPERLINK("https://ledvance.com/pt/product-datasheet/251456/238323","Ficha Técnica")</f>
        <v>Ficha Técnica</v>
      </c>
      <c r="H2458" s="15">
        <v>10</v>
      </c>
      <c r="I2458" s="163">
        <v>470</v>
      </c>
      <c r="J2458" s="15" t="s">
        <v>1892</v>
      </c>
      <c r="K2458" s="163" t="s">
        <v>46</v>
      </c>
      <c r="L2458" s="15">
        <v>5</v>
      </c>
      <c r="M2458" s="193">
        <v>7</v>
      </c>
      <c r="N2458" s="173" t="s">
        <v>571</v>
      </c>
    </row>
    <row r="2459" spans="1:14" x14ac:dyDescent="0.25">
      <c r="A2459" s="63" t="s">
        <v>570</v>
      </c>
      <c r="B2459" s="71" t="s">
        <v>672</v>
      </c>
      <c r="C2459" s="2">
        <v>4099854067686</v>
      </c>
      <c r="D2459" s="118"/>
      <c r="E2459" s="119"/>
      <c r="F2459" s="25"/>
      <c r="G2459" s="156" t="str">
        <f>HYPERLINK("https://ledvance.com/pt/product-datasheet/251456/238305","Ficha Técnica")</f>
        <v>Ficha Técnica</v>
      </c>
      <c r="H2459" s="15">
        <v>10</v>
      </c>
      <c r="I2459" s="163">
        <v>470</v>
      </c>
      <c r="J2459" s="15" t="s">
        <v>1892</v>
      </c>
      <c r="K2459" s="163" t="s">
        <v>46</v>
      </c>
      <c r="L2459" s="15">
        <v>5</v>
      </c>
      <c r="M2459" s="193">
        <v>7.3</v>
      </c>
      <c r="N2459" s="173" t="s">
        <v>571</v>
      </c>
    </row>
    <row r="2460" spans="1:14" x14ac:dyDescent="0.25">
      <c r="A2460" s="66" t="s">
        <v>570</v>
      </c>
      <c r="B2460" s="73" t="s">
        <v>673</v>
      </c>
      <c r="C2460" s="52"/>
      <c r="D2460" s="65"/>
      <c r="E2460" s="92"/>
      <c r="F2460" s="12"/>
      <c r="G2460" s="157"/>
      <c r="H2460" s="12"/>
      <c r="I2460" s="62"/>
      <c r="J2460" s="27"/>
      <c r="K2460" s="62"/>
      <c r="L2460" s="12"/>
      <c r="M2460" s="191"/>
      <c r="N2460" s="130"/>
    </row>
    <row r="2461" spans="1:14" x14ac:dyDescent="0.25">
      <c r="A2461" s="63" t="s">
        <v>570</v>
      </c>
      <c r="B2461" s="71" t="s">
        <v>674</v>
      </c>
      <c r="C2461" s="2">
        <v>4099854067662</v>
      </c>
      <c r="D2461" s="118"/>
      <c r="E2461" s="119"/>
      <c r="F2461" s="25"/>
      <c r="G2461" s="156" t="str">
        <f>HYPERLINK("https://ledvance.com/pt/product-datasheet/251456/238299","Ficha Técnica")</f>
        <v>Ficha Técnica</v>
      </c>
      <c r="H2461" s="15">
        <v>10</v>
      </c>
      <c r="I2461" s="163">
        <v>250</v>
      </c>
      <c r="J2461" s="15" t="s">
        <v>1896</v>
      </c>
      <c r="K2461" s="163" t="s">
        <v>46</v>
      </c>
      <c r="L2461" s="15">
        <v>5</v>
      </c>
      <c r="M2461" s="193">
        <v>6.6</v>
      </c>
      <c r="N2461" s="173" t="s">
        <v>571</v>
      </c>
    </row>
    <row r="2462" spans="1:14" x14ac:dyDescent="0.25">
      <c r="A2462" s="63" t="s">
        <v>570</v>
      </c>
      <c r="B2462" s="71" t="s">
        <v>675</v>
      </c>
      <c r="C2462" s="2">
        <v>4099854067631</v>
      </c>
      <c r="D2462" s="118"/>
      <c r="E2462" s="119"/>
      <c r="F2462" s="25"/>
      <c r="G2462" s="156" t="str">
        <f>HYPERLINK("https://ledvance.com/pt/product-datasheet/251456/238335","Ficha Técnica")</f>
        <v>Ficha Técnica</v>
      </c>
      <c r="H2462" s="15">
        <v>10</v>
      </c>
      <c r="I2462" s="163">
        <v>250</v>
      </c>
      <c r="J2462" s="15" t="s">
        <v>1896</v>
      </c>
      <c r="K2462" s="163" t="s">
        <v>46</v>
      </c>
      <c r="L2462" s="15">
        <v>5</v>
      </c>
      <c r="M2462" s="193">
        <v>6.6</v>
      </c>
      <c r="N2462" s="173" t="s">
        <v>571</v>
      </c>
    </row>
    <row r="2463" spans="1:14" x14ac:dyDescent="0.25">
      <c r="A2463" s="63" t="s">
        <v>570</v>
      </c>
      <c r="B2463" s="71" t="s">
        <v>676</v>
      </c>
      <c r="C2463" s="2">
        <v>4099854067709</v>
      </c>
      <c r="D2463" s="118"/>
      <c r="E2463" s="119"/>
      <c r="F2463" s="25"/>
      <c r="G2463" s="156" t="str">
        <f>HYPERLINK("https://ledvance.com/pt/product-datasheet/251456/238311","Ficha Técnica")</f>
        <v>Ficha Técnica</v>
      </c>
      <c r="H2463" s="15">
        <v>10</v>
      </c>
      <c r="I2463" s="163">
        <v>470</v>
      </c>
      <c r="J2463" s="15" t="s">
        <v>1892</v>
      </c>
      <c r="K2463" s="163" t="s">
        <v>46</v>
      </c>
      <c r="L2463" s="15">
        <v>5</v>
      </c>
      <c r="M2463" s="193">
        <v>7.3</v>
      </c>
      <c r="N2463" s="173" t="s">
        <v>571</v>
      </c>
    </row>
    <row r="2464" spans="1:14" x14ac:dyDescent="0.25">
      <c r="A2464" s="63" t="s">
        <v>570</v>
      </c>
      <c r="B2464" s="71" t="s">
        <v>677</v>
      </c>
      <c r="C2464" s="2">
        <v>4099854067594</v>
      </c>
      <c r="D2464" s="118"/>
      <c r="E2464" s="119"/>
      <c r="F2464" s="25"/>
      <c r="G2464" s="156" t="str">
        <f>HYPERLINK("https://ledvance.com/pt/product-datasheet/251456/238332","Ficha Técnica")</f>
        <v>Ficha Técnica</v>
      </c>
      <c r="H2464" s="15">
        <v>10</v>
      </c>
      <c r="I2464" s="163">
        <v>470</v>
      </c>
      <c r="J2464" s="15" t="s">
        <v>1892</v>
      </c>
      <c r="K2464" s="163" t="s">
        <v>46</v>
      </c>
      <c r="L2464" s="15">
        <v>5</v>
      </c>
      <c r="M2464" s="193">
        <v>7.3</v>
      </c>
      <c r="N2464" s="173" t="s">
        <v>571</v>
      </c>
    </row>
    <row r="2465" spans="1:14" x14ac:dyDescent="0.25">
      <c r="A2465" s="63" t="s">
        <v>570</v>
      </c>
      <c r="B2465" s="71" t="s">
        <v>678</v>
      </c>
      <c r="C2465" s="2">
        <v>4099854067617</v>
      </c>
      <c r="D2465" s="118"/>
      <c r="E2465" s="119"/>
      <c r="F2465" s="25"/>
      <c r="G2465" s="156" t="str">
        <f>HYPERLINK("https://ledvance.com/pt/product-datasheet/251456/238329","Ficha Técnica")</f>
        <v>Ficha Técnica</v>
      </c>
      <c r="H2465" s="15">
        <v>10</v>
      </c>
      <c r="I2465" s="163">
        <v>470</v>
      </c>
      <c r="J2465" s="15" t="s">
        <v>1892</v>
      </c>
      <c r="K2465" s="163" t="s">
        <v>46</v>
      </c>
      <c r="L2465" s="15">
        <v>5</v>
      </c>
      <c r="M2465" s="193">
        <v>7</v>
      </c>
      <c r="N2465" s="173" t="s">
        <v>571</v>
      </c>
    </row>
    <row r="2466" spans="1:14" x14ac:dyDescent="0.25">
      <c r="A2466" s="63" t="s">
        <v>570</v>
      </c>
      <c r="B2466" s="71" t="s">
        <v>3830</v>
      </c>
      <c r="C2466" s="2">
        <v>4099854253409</v>
      </c>
      <c r="D2466" s="95">
        <v>4099854065552</v>
      </c>
      <c r="E2466" s="96" t="s">
        <v>1336</v>
      </c>
      <c r="G2466" s="156" t="str">
        <f>HYPERLINK("https://ledvance.com/pt/product-datasheet/251456/289868","Ficha Técnica")</f>
        <v>Ficha Técnica</v>
      </c>
      <c r="H2466" s="15">
        <v>10</v>
      </c>
      <c r="I2466" s="163">
        <v>806</v>
      </c>
      <c r="J2466" s="15" t="s">
        <v>1894</v>
      </c>
      <c r="K2466" s="163" t="s">
        <v>46</v>
      </c>
      <c r="L2466" s="15">
        <v>5</v>
      </c>
      <c r="M2466" s="193">
        <v>10.9</v>
      </c>
      <c r="N2466" s="173" t="s">
        <v>571</v>
      </c>
    </row>
    <row r="2467" spans="1:14" x14ac:dyDescent="0.25">
      <c r="A2467" s="66" t="s">
        <v>570</v>
      </c>
      <c r="B2467" s="73" t="s">
        <v>679</v>
      </c>
      <c r="C2467" s="52"/>
      <c r="D2467" s="65"/>
      <c r="E2467" s="92"/>
      <c r="F2467" s="12"/>
      <c r="G2467" s="157"/>
      <c r="H2467" s="12"/>
      <c r="I2467" s="62"/>
      <c r="J2467" s="27"/>
      <c r="K2467" s="62"/>
      <c r="L2467" s="12"/>
      <c r="M2467" s="191"/>
      <c r="N2467" s="130"/>
    </row>
    <row r="2468" spans="1:14" x14ac:dyDescent="0.25">
      <c r="A2468" s="63" t="s">
        <v>570</v>
      </c>
      <c r="B2468" s="71" t="s">
        <v>680</v>
      </c>
      <c r="C2468" s="2">
        <v>4099854069253</v>
      </c>
      <c r="D2468" s="118"/>
      <c r="E2468" s="119"/>
      <c r="F2468" s="25"/>
      <c r="G2468" s="156" t="str">
        <f>HYPERLINK("https://ledvance.com/pt/product-datasheet/251489/238787","Ficha Técnica")</f>
        <v>Ficha Técnica</v>
      </c>
      <c r="H2468" s="15">
        <v>10</v>
      </c>
      <c r="I2468" s="163">
        <v>136</v>
      </c>
      <c r="J2468" s="15" t="s">
        <v>1897</v>
      </c>
      <c r="K2468" s="163" t="s">
        <v>46</v>
      </c>
      <c r="L2468" s="15">
        <v>4</v>
      </c>
      <c r="M2468" s="193">
        <v>3.7</v>
      </c>
      <c r="N2468" s="173" t="s">
        <v>571</v>
      </c>
    </row>
    <row r="2469" spans="1:14" x14ac:dyDescent="0.25">
      <c r="A2469" s="63" t="s">
        <v>570</v>
      </c>
      <c r="B2469" s="71" t="s">
        <v>681</v>
      </c>
      <c r="C2469" s="2">
        <v>4099854069215</v>
      </c>
      <c r="D2469" s="118"/>
      <c r="E2469" s="119"/>
      <c r="F2469" s="25"/>
      <c r="G2469" s="156" t="str">
        <f>HYPERLINK("https://ledvance.com/pt/product-datasheet/251489/238775","Ficha Técnica")</f>
        <v>Ficha Técnica</v>
      </c>
      <c r="H2469" s="15">
        <v>10</v>
      </c>
      <c r="I2469" s="163">
        <v>250</v>
      </c>
      <c r="J2469" s="15" t="s">
        <v>1895</v>
      </c>
      <c r="K2469" s="163" t="s">
        <v>46</v>
      </c>
      <c r="L2469" s="15">
        <v>4</v>
      </c>
      <c r="M2469" s="193">
        <v>3.6</v>
      </c>
      <c r="N2469" s="173" t="s">
        <v>571</v>
      </c>
    </row>
    <row r="2470" spans="1:14" x14ac:dyDescent="0.25">
      <c r="A2470" s="63" t="s">
        <v>570</v>
      </c>
      <c r="B2470" s="71" t="s">
        <v>682</v>
      </c>
      <c r="C2470" s="2">
        <v>4099854069192</v>
      </c>
      <c r="D2470" s="118"/>
      <c r="E2470" s="119"/>
      <c r="F2470" s="25"/>
      <c r="G2470" s="156" t="str">
        <f>HYPERLINK("https://ledvance.com/pt/product-datasheet/251489/238769","Ficha Técnica")</f>
        <v>Ficha Técnica</v>
      </c>
      <c r="H2470" s="15">
        <v>10</v>
      </c>
      <c r="I2470" s="163">
        <v>250</v>
      </c>
      <c r="J2470" s="15" t="s">
        <v>1895</v>
      </c>
      <c r="K2470" s="163" t="s">
        <v>46</v>
      </c>
      <c r="L2470" s="15">
        <v>4</v>
      </c>
      <c r="M2470" s="193">
        <v>3.8</v>
      </c>
      <c r="N2470" s="173" t="s">
        <v>571</v>
      </c>
    </row>
    <row r="2471" spans="1:14" x14ac:dyDescent="0.25">
      <c r="A2471" s="63" t="s">
        <v>570</v>
      </c>
      <c r="B2471" s="71" t="s">
        <v>683</v>
      </c>
      <c r="C2471" s="2">
        <v>4099854069178</v>
      </c>
      <c r="D2471" s="118"/>
      <c r="E2471" s="119"/>
      <c r="F2471" s="25"/>
      <c r="G2471" s="156" t="str">
        <f>HYPERLINK("https://ledvance.com/pt/product-datasheet/251489/238766","Ficha Técnica")</f>
        <v>Ficha Técnica</v>
      </c>
      <c r="H2471" s="15">
        <v>10</v>
      </c>
      <c r="I2471" s="163">
        <v>470</v>
      </c>
      <c r="J2471" s="15">
        <v>4</v>
      </c>
      <c r="K2471" s="163" t="s">
        <v>46</v>
      </c>
      <c r="L2471" s="15">
        <v>4</v>
      </c>
      <c r="M2471" s="193">
        <v>4.5</v>
      </c>
      <c r="N2471" s="173" t="s">
        <v>571</v>
      </c>
    </row>
    <row r="2472" spans="1:14" x14ac:dyDescent="0.25">
      <c r="A2472" s="63" t="s">
        <v>570</v>
      </c>
      <c r="B2472" s="71" t="s">
        <v>684</v>
      </c>
      <c r="C2472" s="2">
        <v>4099854062223</v>
      </c>
      <c r="D2472" s="118"/>
      <c r="E2472" s="119"/>
      <c r="F2472" s="25"/>
      <c r="G2472" s="156" t="str">
        <f>HYPERLINK("https://ledvance.com/pt/product-datasheet/251489/237482","Ficha Técnica")</f>
        <v>Ficha Técnica</v>
      </c>
      <c r="H2472" s="15">
        <v>10</v>
      </c>
      <c r="I2472" s="163">
        <v>806</v>
      </c>
      <c r="J2472" s="15" t="s">
        <v>1879</v>
      </c>
      <c r="K2472" s="163" t="s">
        <v>46</v>
      </c>
      <c r="L2472" s="15">
        <v>4</v>
      </c>
      <c r="M2472" s="193">
        <v>8</v>
      </c>
      <c r="N2472" s="173" t="s">
        <v>571</v>
      </c>
    </row>
    <row r="2473" spans="1:14" x14ac:dyDescent="0.25">
      <c r="A2473" s="63" t="s">
        <v>570</v>
      </c>
      <c r="B2473" s="71" t="s">
        <v>685</v>
      </c>
      <c r="C2473" s="2">
        <v>4099854062209</v>
      </c>
      <c r="D2473" s="118"/>
      <c r="E2473" s="119"/>
      <c r="F2473" s="25"/>
      <c r="G2473" s="156" t="str">
        <f>HYPERLINK("https://ledvance.com/pt/product-datasheet/251489/237473","Ficha Técnica")</f>
        <v>Ficha Técnica</v>
      </c>
      <c r="H2473" s="15">
        <v>10</v>
      </c>
      <c r="I2473" s="163">
        <v>806</v>
      </c>
      <c r="J2473" s="15" t="s">
        <v>1879</v>
      </c>
      <c r="K2473" s="163" t="s">
        <v>46</v>
      </c>
      <c r="L2473" s="15">
        <v>4</v>
      </c>
      <c r="M2473" s="193">
        <v>8</v>
      </c>
      <c r="N2473" s="173" t="s">
        <v>571</v>
      </c>
    </row>
    <row r="2474" spans="1:14" x14ac:dyDescent="0.25">
      <c r="A2474" s="66" t="s">
        <v>570</v>
      </c>
      <c r="B2474" s="73" t="s">
        <v>686</v>
      </c>
      <c r="C2474" s="52"/>
      <c r="D2474" s="65"/>
      <c r="E2474" s="92"/>
      <c r="F2474" s="12"/>
      <c r="G2474" s="157"/>
      <c r="H2474" s="12"/>
      <c r="I2474" s="62"/>
      <c r="J2474" s="27"/>
      <c r="K2474" s="62"/>
      <c r="L2474" s="12"/>
      <c r="M2474" s="191"/>
      <c r="N2474" s="130"/>
    </row>
    <row r="2475" spans="1:14" x14ac:dyDescent="0.25">
      <c r="A2475" s="63" t="s">
        <v>570</v>
      </c>
      <c r="B2475" s="71" t="s">
        <v>687</v>
      </c>
      <c r="C2475" s="2">
        <v>4099854069239</v>
      </c>
      <c r="D2475" s="118"/>
      <c r="E2475" s="119"/>
      <c r="F2475" s="25"/>
      <c r="G2475" s="156" t="str">
        <f>HYPERLINK("https://ledvance.com/pt/product-datasheet/251489/238778","Ficha Técnica")</f>
        <v>Ficha Técnica</v>
      </c>
      <c r="H2475" s="15">
        <v>10</v>
      </c>
      <c r="I2475" s="163">
        <v>250</v>
      </c>
      <c r="J2475" s="15" t="s">
        <v>1895</v>
      </c>
      <c r="K2475" s="163" t="s">
        <v>46</v>
      </c>
      <c r="L2475" s="15">
        <v>4</v>
      </c>
      <c r="M2475" s="193">
        <v>3.5</v>
      </c>
      <c r="N2475" s="173" t="s">
        <v>571</v>
      </c>
    </row>
    <row r="2476" spans="1:14" x14ac:dyDescent="0.25">
      <c r="A2476" s="63" t="s">
        <v>570</v>
      </c>
      <c r="B2476" s="71" t="s">
        <v>688</v>
      </c>
      <c r="C2476" s="2">
        <v>4099854069123</v>
      </c>
      <c r="D2476" s="118"/>
      <c r="E2476" s="119"/>
      <c r="F2476" s="25"/>
      <c r="G2476" s="156" t="str">
        <f>HYPERLINK("https://ledvance.com/pt/product-datasheet/251489/238823","Ficha Técnica")</f>
        <v>Ficha Técnica</v>
      </c>
      <c r="H2476" s="15">
        <v>10</v>
      </c>
      <c r="I2476" s="163">
        <v>250</v>
      </c>
      <c r="J2476" s="15" t="s">
        <v>1895</v>
      </c>
      <c r="K2476" s="163" t="s">
        <v>46</v>
      </c>
      <c r="L2476" s="15">
        <v>4</v>
      </c>
      <c r="M2476" s="193">
        <v>3.6</v>
      </c>
      <c r="N2476" s="173" t="s">
        <v>571</v>
      </c>
    </row>
    <row r="2477" spans="1:14" x14ac:dyDescent="0.25">
      <c r="A2477" s="63" t="s">
        <v>570</v>
      </c>
      <c r="B2477" s="71" t="s">
        <v>689</v>
      </c>
      <c r="C2477" s="2">
        <v>4099854069154</v>
      </c>
      <c r="D2477" s="118"/>
      <c r="E2477" s="119"/>
      <c r="F2477" s="25"/>
      <c r="G2477" s="156" t="str">
        <f>HYPERLINK("https://ledvance.com/pt/product-datasheet/251489/238760","Ficha Técnica")</f>
        <v>Ficha Técnica</v>
      </c>
      <c r="H2477" s="15">
        <v>10</v>
      </c>
      <c r="I2477" s="163">
        <v>470</v>
      </c>
      <c r="J2477" s="15">
        <v>4</v>
      </c>
      <c r="K2477" s="163" t="s">
        <v>46</v>
      </c>
      <c r="L2477" s="15">
        <v>4</v>
      </c>
      <c r="M2477" s="193">
        <v>4.5</v>
      </c>
      <c r="N2477" s="173" t="s">
        <v>571</v>
      </c>
    </row>
    <row r="2478" spans="1:14" x14ac:dyDescent="0.25">
      <c r="A2478" s="63" t="s">
        <v>570</v>
      </c>
      <c r="B2478" s="71" t="s">
        <v>690</v>
      </c>
      <c r="C2478" s="2">
        <v>4099854069109</v>
      </c>
      <c r="D2478" s="118"/>
      <c r="E2478" s="119"/>
      <c r="F2478" s="25"/>
      <c r="G2478" s="156" t="str">
        <f>HYPERLINK("https://ledvance.com/pt/product-datasheet/251489/238832","Ficha Técnica")</f>
        <v>Ficha Técnica</v>
      </c>
      <c r="H2478" s="15">
        <v>10</v>
      </c>
      <c r="I2478" s="163">
        <v>470</v>
      </c>
      <c r="J2478" s="15">
        <v>4</v>
      </c>
      <c r="K2478" s="163" t="s">
        <v>46</v>
      </c>
      <c r="L2478" s="15">
        <v>4</v>
      </c>
      <c r="M2478" s="193">
        <v>4.5999999999999996</v>
      </c>
      <c r="N2478" s="173" t="s">
        <v>571</v>
      </c>
    </row>
    <row r="2479" spans="1:14" x14ac:dyDescent="0.25">
      <c r="A2479" s="63" t="s">
        <v>570</v>
      </c>
      <c r="B2479" s="71" t="s">
        <v>691</v>
      </c>
      <c r="C2479" s="2">
        <v>4099854069086</v>
      </c>
      <c r="D2479" s="118"/>
      <c r="E2479" s="119"/>
      <c r="F2479" s="25"/>
      <c r="G2479" s="156" t="str">
        <f>HYPERLINK("https://ledvance.com/pt/product-datasheet/251489/238826","Ficha Técnica")</f>
        <v>Ficha Técnica</v>
      </c>
      <c r="H2479" s="15">
        <v>10</v>
      </c>
      <c r="I2479" s="163">
        <v>470</v>
      </c>
      <c r="J2479" s="15">
        <v>4</v>
      </c>
      <c r="K2479" s="163" t="s">
        <v>46</v>
      </c>
      <c r="L2479" s="15">
        <v>4</v>
      </c>
      <c r="M2479" s="193">
        <v>4.8</v>
      </c>
      <c r="N2479" s="173" t="s">
        <v>571</v>
      </c>
    </row>
    <row r="2480" spans="1:14" x14ac:dyDescent="0.25">
      <c r="A2480" s="63" t="s">
        <v>570</v>
      </c>
      <c r="B2480" s="71" t="s">
        <v>692</v>
      </c>
      <c r="C2480" s="2">
        <v>4099854062261</v>
      </c>
      <c r="D2480" s="118"/>
      <c r="E2480" s="119"/>
      <c r="F2480" s="25"/>
      <c r="G2480" s="156" t="str">
        <f>HYPERLINK("https://ledvance.com/pt/product-datasheet/251489/237488","Ficha Técnica")</f>
        <v>Ficha Técnica</v>
      </c>
      <c r="H2480" s="15">
        <v>10</v>
      </c>
      <c r="I2480" s="163">
        <v>806</v>
      </c>
      <c r="J2480" s="15" t="s">
        <v>1879</v>
      </c>
      <c r="K2480" s="163" t="s">
        <v>46</v>
      </c>
      <c r="L2480" s="15">
        <v>4</v>
      </c>
      <c r="M2480" s="193">
        <v>8</v>
      </c>
      <c r="N2480" s="173" t="s">
        <v>571</v>
      </c>
    </row>
    <row r="2481" spans="1:14" x14ac:dyDescent="0.25">
      <c r="A2481" s="66" t="s">
        <v>570</v>
      </c>
      <c r="B2481" s="73" t="s">
        <v>693</v>
      </c>
      <c r="C2481" s="52"/>
      <c r="D2481" s="65"/>
      <c r="E2481" s="92"/>
      <c r="F2481" s="12"/>
      <c r="G2481" s="157"/>
      <c r="H2481" s="12"/>
      <c r="I2481" s="62"/>
      <c r="J2481" s="27"/>
      <c r="K2481" s="62"/>
      <c r="L2481" s="12"/>
      <c r="M2481" s="191"/>
      <c r="N2481" s="130"/>
    </row>
    <row r="2482" spans="1:14" x14ac:dyDescent="0.25">
      <c r="A2482" s="63" t="s">
        <v>570</v>
      </c>
      <c r="B2482" s="71" t="s">
        <v>694</v>
      </c>
      <c r="C2482" s="2">
        <v>4099854054259</v>
      </c>
      <c r="D2482" s="118"/>
      <c r="E2482" s="119"/>
      <c r="F2482" s="25"/>
      <c r="G2482" s="156" t="str">
        <f>HYPERLINK("https://ledvance.com/pt/product-datasheet/251486/236280","Ficha Técnica")</f>
        <v>Ficha Técnica</v>
      </c>
      <c r="H2482" s="15">
        <v>10</v>
      </c>
      <c r="I2482" s="163">
        <v>250</v>
      </c>
      <c r="J2482" s="15" t="s">
        <v>1895</v>
      </c>
      <c r="K2482" s="163" t="s">
        <v>46</v>
      </c>
      <c r="L2482" s="15">
        <v>4</v>
      </c>
      <c r="M2482" s="193">
        <v>8.3000000000000007</v>
      </c>
      <c r="N2482" s="173" t="s">
        <v>571</v>
      </c>
    </row>
    <row r="2483" spans="1:14" x14ac:dyDescent="0.25">
      <c r="A2483" s="63" t="s">
        <v>570</v>
      </c>
      <c r="B2483" s="71" t="s">
        <v>695</v>
      </c>
      <c r="C2483" s="2">
        <v>4099854054198</v>
      </c>
      <c r="D2483" s="118"/>
      <c r="E2483" s="119"/>
      <c r="F2483" s="25"/>
      <c r="G2483" s="156" t="str">
        <f>HYPERLINK("https://ledvance.com/pt/product-datasheet/251486/236271","Ficha Técnica")</f>
        <v>Ficha Técnica</v>
      </c>
      <c r="H2483" s="15">
        <v>10</v>
      </c>
      <c r="I2483" s="163">
        <v>470</v>
      </c>
      <c r="J2483" s="15">
        <v>4</v>
      </c>
      <c r="K2483" s="163" t="s">
        <v>46</v>
      </c>
      <c r="L2483" s="15">
        <v>4</v>
      </c>
      <c r="M2483" s="193">
        <v>9.6999999999999993</v>
      </c>
      <c r="N2483" s="173" t="s">
        <v>571</v>
      </c>
    </row>
    <row r="2484" spans="1:14" x14ac:dyDescent="0.25">
      <c r="A2484" s="63" t="s">
        <v>570</v>
      </c>
      <c r="B2484" s="71" t="s">
        <v>696</v>
      </c>
      <c r="C2484" s="2">
        <v>4099854054761</v>
      </c>
      <c r="D2484" s="118"/>
      <c r="E2484" s="119"/>
      <c r="F2484" s="25"/>
      <c r="G2484" s="156" t="str">
        <f>HYPERLINK("https://ledvance.com/pt/product-datasheet/251486/236268","Ficha Técnica")</f>
        <v>Ficha Técnica</v>
      </c>
      <c r="H2484" s="15">
        <v>10</v>
      </c>
      <c r="I2484" s="163">
        <v>806</v>
      </c>
      <c r="J2484" s="15">
        <v>7</v>
      </c>
      <c r="K2484" s="163" t="s">
        <v>46</v>
      </c>
      <c r="L2484" s="15">
        <v>4</v>
      </c>
      <c r="M2484" s="193">
        <v>13</v>
      </c>
      <c r="N2484" s="173" t="s">
        <v>571</v>
      </c>
    </row>
    <row r="2485" spans="1:14" x14ac:dyDescent="0.25">
      <c r="A2485" s="66" t="s">
        <v>570</v>
      </c>
      <c r="B2485" s="73" t="s">
        <v>697</v>
      </c>
      <c r="C2485" s="52"/>
      <c r="D2485" s="65"/>
      <c r="E2485" s="92"/>
      <c r="F2485" s="12"/>
      <c r="G2485" s="157"/>
      <c r="H2485" s="12"/>
      <c r="I2485" s="62"/>
      <c r="J2485" s="27"/>
      <c r="K2485" s="62"/>
      <c r="L2485" s="12"/>
      <c r="M2485" s="191"/>
      <c r="N2485" s="130"/>
    </row>
    <row r="2486" spans="1:14" x14ac:dyDescent="0.25">
      <c r="A2486" s="63" t="s">
        <v>570</v>
      </c>
      <c r="B2486" s="71" t="s">
        <v>698</v>
      </c>
      <c r="C2486" s="2">
        <v>4099854060717</v>
      </c>
      <c r="D2486" s="118"/>
      <c r="E2486" s="119"/>
      <c r="F2486" s="25"/>
      <c r="G2486" s="156" t="str">
        <f>HYPERLINK("https://ledvance.com/pt/product-datasheet/251460/237162","Ficha Técnica")</f>
        <v>Ficha Técnica</v>
      </c>
      <c r="H2486" s="15">
        <v>6</v>
      </c>
      <c r="I2486" s="163">
        <v>1055</v>
      </c>
      <c r="J2486" s="15" t="s">
        <v>1854</v>
      </c>
      <c r="K2486" s="163" t="s">
        <v>46</v>
      </c>
      <c r="L2486" s="15">
        <v>5</v>
      </c>
      <c r="M2486" s="193">
        <v>14.1</v>
      </c>
      <c r="N2486" s="173" t="s">
        <v>571</v>
      </c>
    </row>
    <row r="2487" spans="1:14" x14ac:dyDescent="0.25">
      <c r="A2487" s="63" t="s">
        <v>570</v>
      </c>
      <c r="B2487" s="71" t="s">
        <v>699</v>
      </c>
      <c r="C2487" s="2">
        <v>4099854060793</v>
      </c>
      <c r="D2487" s="118"/>
      <c r="E2487" s="119"/>
      <c r="F2487" s="25"/>
      <c r="G2487" s="156" t="str">
        <f>HYPERLINK("https://ledvance.com/pt/product-datasheet/251460/237165","Ficha Técnica")</f>
        <v>Ficha Técnica</v>
      </c>
      <c r="H2487" s="15">
        <v>6</v>
      </c>
      <c r="I2487" s="163">
        <v>1521</v>
      </c>
      <c r="J2487" s="15">
        <v>11</v>
      </c>
      <c r="K2487" s="163" t="s">
        <v>46</v>
      </c>
      <c r="L2487" s="15">
        <v>5</v>
      </c>
      <c r="M2487" s="193">
        <v>17.2</v>
      </c>
      <c r="N2487" s="173" t="s">
        <v>571</v>
      </c>
    </row>
    <row r="2488" spans="1:14" x14ac:dyDescent="0.25">
      <c r="A2488" s="66" t="s">
        <v>570</v>
      </c>
      <c r="B2488" s="73" t="s">
        <v>700</v>
      </c>
      <c r="C2488" s="52"/>
      <c r="D2488" s="65"/>
      <c r="E2488" s="92"/>
      <c r="F2488" s="12"/>
      <c r="G2488" s="157"/>
      <c r="H2488" s="12"/>
      <c r="I2488" s="62"/>
      <c r="J2488" s="27"/>
      <c r="K2488" s="62"/>
      <c r="L2488" s="12"/>
      <c r="M2488" s="191"/>
      <c r="N2488" s="130"/>
    </row>
    <row r="2489" spans="1:14" x14ac:dyDescent="0.25">
      <c r="A2489" s="63" t="s">
        <v>570</v>
      </c>
      <c r="B2489" s="71" t="s">
        <v>701</v>
      </c>
      <c r="C2489" s="2">
        <v>4099854062384</v>
      </c>
      <c r="D2489" s="118"/>
      <c r="E2489" s="119"/>
      <c r="F2489" s="25"/>
      <c r="G2489" s="156" t="str">
        <f>HYPERLINK("https://ledvance.com/pt/product-datasheet/251486/237530","Ficha Técnica")</f>
        <v>Ficha Técnica</v>
      </c>
      <c r="H2489" s="15">
        <v>6</v>
      </c>
      <c r="I2489" s="163">
        <v>806</v>
      </c>
      <c r="J2489" s="15" t="s">
        <v>1893</v>
      </c>
      <c r="K2489" s="163" t="s">
        <v>46</v>
      </c>
      <c r="L2489" s="15">
        <v>4</v>
      </c>
      <c r="M2489" s="193">
        <v>8.5</v>
      </c>
      <c r="N2489" s="173" t="s">
        <v>571</v>
      </c>
    </row>
    <row r="2490" spans="1:14" x14ac:dyDescent="0.25">
      <c r="A2490" s="63" t="s">
        <v>570</v>
      </c>
      <c r="B2490" s="71" t="s">
        <v>702</v>
      </c>
      <c r="C2490" s="2">
        <v>4099854062865</v>
      </c>
      <c r="D2490" s="118"/>
      <c r="E2490" s="119"/>
      <c r="F2490" s="25"/>
      <c r="G2490" s="156" t="str">
        <f>HYPERLINK("https://ledvance.com/pt/product-datasheet/251486/237658","Ficha Técnica")</f>
        <v>Ficha Técnica</v>
      </c>
      <c r="H2490" s="15">
        <v>6</v>
      </c>
      <c r="I2490" s="163">
        <v>1521</v>
      </c>
      <c r="J2490" s="15">
        <v>11</v>
      </c>
      <c r="K2490" s="163" t="s">
        <v>46</v>
      </c>
      <c r="L2490" s="15">
        <v>4</v>
      </c>
      <c r="M2490" s="193">
        <v>16</v>
      </c>
      <c r="N2490" s="173" t="s">
        <v>571</v>
      </c>
    </row>
    <row r="2491" spans="1:14" x14ac:dyDescent="0.25">
      <c r="A2491" s="66" t="s">
        <v>570</v>
      </c>
      <c r="B2491" s="73" t="s">
        <v>703</v>
      </c>
      <c r="C2491" s="52"/>
      <c r="D2491" s="65"/>
      <c r="E2491" s="92"/>
      <c r="F2491" s="12"/>
      <c r="G2491" s="157"/>
      <c r="H2491" s="12"/>
      <c r="I2491" s="62"/>
      <c r="J2491" s="27"/>
      <c r="K2491" s="62"/>
      <c r="L2491" s="12"/>
      <c r="M2491" s="191"/>
      <c r="N2491" s="130"/>
    </row>
    <row r="2492" spans="1:14" x14ac:dyDescent="0.25">
      <c r="A2492" s="63" t="s">
        <v>570</v>
      </c>
      <c r="B2492" s="71" t="s">
        <v>704</v>
      </c>
      <c r="C2492" s="2">
        <v>4099854070013</v>
      </c>
      <c r="D2492" s="118"/>
      <c r="E2492" s="119"/>
      <c r="F2492" s="25"/>
      <c r="G2492" s="156" t="str">
        <f>HYPERLINK("https://ledvance.com/pt/product-datasheet/251483/238793","Ficha Técnica")</f>
        <v>Ficha Técnica</v>
      </c>
      <c r="H2492" s="15">
        <v>10</v>
      </c>
      <c r="I2492" s="163">
        <v>470</v>
      </c>
      <c r="J2492" s="15">
        <v>4</v>
      </c>
      <c r="K2492" s="163" t="s">
        <v>46</v>
      </c>
      <c r="L2492" s="15">
        <v>4</v>
      </c>
      <c r="M2492" s="193">
        <v>9</v>
      </c>
      <c r="N2492" s="173" t="s">
        <v>571</v>
      </c>
    </row>
    <row r="2493" spans="1:14" x14ac:dyDescent="0.25">
      <c r="A2493" s="63" t="s">
        <v>570</v>
      </c>
      <c r="B2493" s="71" t="s">
        <v>705</v>
      </c>
      <c r="C2493" s="2">
        <v>4099854069994</v>
      </c>
      <c r="D2493" s="118"/>
      <c r="E2493" s="119"/>
      <c r="F2493" s="25"/>
      <c r="G2493" s="156" t="str">
        <f>HYPERLINK("https://ledvance.com/pt/product-datasheet/251483/238790","Ficha Técnica")</f>
        <v>Ficha Técnica</v>
      </c>
      <c r="H2493" s="15">
        <v>10</v>
      </c>
      <c r="I2493" s="163">
        <v>470</v>
      </c>
      <c r="J2493" s="15">
        <v>4</v>
      </c>
      <c r="K2493" s="163" t="s">
        <v>46</v>
      </c>
      <c r="L2493" s="15">
        <v>4</v>
      </c>
      <c r="M2493" s="193">
        <v>9</v>
      </c>
      <c r="N2493" s="173" t="s">
        <v>571</v>
      </c>
    </row>
    <row r="2494" spans="1:14" x14ac:dyDescent="0.25">
      <c r="A2494" s="63" t="s">
        <v>570</v>
      </c>
      <c r="B2494" s="71" t="s">
        <v>706</v>
      </c>
      <c r="C2494" s="2">
        <v>4099854062803</v>
      </c>
      <c r="D2494" s="118"/>
      <c r="E2494" s="119"/>
      <c r="F2494" s="25"/>
      <c r="G2494" s="156" t="str">
        <f>HYPERLINK("https://ledvance.com/pt/product-datasheet/251483/237649","Ficha Técnica")</f>
        <v>Ficha Técnica</v>
      </c>
      <c r="H2494" s="15">
        <v>10</v>
      </c>
      <c r="I2494" s="163">
        <v>730</v>
      </c>
      <c r="J2494" s="15" t="s">
        <v>1893</v>
      </c>
      <c r="K2494" s="163" t="s">
        <v>46</v>
      </c>
      <c r="L2494" s="15">
        <v>4</v>
      </c>
      <c r="M2494" s="193">
        <v>13</v>
      </c>
      <c r="N2494" s="173" t="s">
        <v>571</v>
      </c>
    </row>
    <row r="2495" spans="1:14" x14ac:dyDescent="0.25">
      <c r="A2495" s="66" t="s">
        <v>570</v>
      </c>
      <c r="B2495" s="69" t="s">
        <v>707</v>
      </c>
      <c r="C2495" s="52"/>
      <c r="D2495" s="65"/>
      <c r="E2495" s="92"/>
      <c r="F2495" s="12"/>
      <c r="G2495" s="157"/>
      <c r="H2495" s="12"/>
      <c r="I2495" s="62"/>
      <c r="J2495" s="27"/>
      <c r="K2495" s="62"/>
      <c r="L2495" s="12"/>
      <c r="M2495" s="191"/>
      <c r="N2495" s="130"/>
    </row>
    <row r="2496" spans="1:14" x14ac:dyDescent="0.25">
      <c r="A2496" s="63" t="s">
        <v>570</v>
      </c>
      <c r="B2496" s="71" t="s">
        <v>708</v>
      </c>
      <c r="C2496" s="2">
        <v>4099854081514</v>
      </c>
      <c r="D2496" s="118"/>
      <c r="E2496" s="119"/>
      <c r="F2496" s="25"/>
      <c r="G2496" s="156" t="str">
        <f>HYPERLINK("https://ledvance.com/pt/product-datasheet/275563/246493","Ficha Técnica")</f>
        <v>Ficha Técnica</v>
      </c>
      <c r="H2496" s="15">
        <v>4</v>
      </c>
      <c r="I2496" s="163">
        <v>725</v>
      </c>
      <c r="J2496" s="15" t="s">
        <v>1893</v>
      </c>
      <c r="K2496" s="163" t="s">
        <v>46</v>
      </c>
      <c r="L2496" s="15">
        <v>3</v>
      </c>
      <c r="M2496" s="193">
        <v>12.1</v>
      </c>
      <c r="N2496" s="173" t="s">
        <v>571</v>
      </c>
    </row>
    <row r="2497" spans="1:14" x14ac:dyDescent="0.25">
      <c r="A2497" s="63" t="s">
        <v>570</v>
      </c>
      <c r="B2497" s="71" t="s">
        <v>709</v>
      </c>
      <c r="C2497" s="2">
        <v>4058075808997</v>
      </c>
      <c r="D2497" s="118"/>
      <c r="E2497" s="119"/>
      <c r="F2497" s="25"/>
      <c r="G2497" s="156" t="str">
        <f>HYPERLINK("https://ledvance.com/pt/product-datasheet/275562/35005","Ficha Técnica")</f>
        <v>Ficha Técnica</v>
      </c>
      <c r="H2497" s="15">
        <v>4</v>
      </c>
      <c r="I2497" s="163">
        <v>725</v>
      </c>
      <c r="J2497" s="15" t="s">
        <v>1893</v>
      </c>
      <c r="K2497" s="163" t="s">
        <v>46</v>
      </c>
      <c r="L2497" s="15">
        <v>3</v>
      </c>
      <c r="M2497" s="193">
        <v>16.600000000000001</v>
      </c>
      <c r="N2497" s="173" t="s">
        <v>571</v>
      </c>
    </row>
    <row r="2498" spans="1:14" x14ac:dyDescent="0.25">
      <c r="A2498" s="66" t="s">
        <v>570</v>
      </c>
      <c r="B2498" s="69" t="s">
        <v>1664</v>
      </c>
      <c r="C2498" s="52"/>
      <c r="D2498" s="65"/>
      <c r="E2498" s="92"/>
      <c r="F2498" s="12"/>
      <c r="G2498" s="157"/>
      <c r="H2498" s="12"/>
      <c r="I2498" s="62"/>
      <c r="J2498" s="27"/>
      <c r="K2498" s="62"/>
      <c r="L2498" s="12"/>
      <c r="M2498" s="191"/>
      <c r="N2498" s="130"/>
    </row>
    <row r="2499" spans="1:14" x14ac:dyDescent="0.25">
      <c r="A2499" s="63" t="s">
        <v>570</v>
      </c>
      <c r="B2499" s="71" t="s">
        <v>3831</v>
      </c>
      <c r="C2499" s="2">
        <v>4099854050015</v>
      </c>
      <c r="D2499" s="118"/>
      <c r="E2499" s="132"/>
      <c r="F2499" s="28"/>
      <c r="G2499" s="156" t="str">
        <f>HYPERLINK("https://ledvance.com/pt/product-datasheet/275740/235264","Ficha Técnica")</f>
        <v>Ficha Técnica</v>
      </c>
      <c r="H2499" s="15">
        <v>6</v>
      </c>
      <c r="I2499" s="163">
        <v>40</v>
      </c>
      <c r="J2499" s="15" t="s">
        <v>1898</v>
      </c>
      <c r="K2499" s="163" t="s">
        <v>46</v>
      </c>
      <c r="L2499" s="15">
        <v>3</v>
      </c>
      <c r="M2499" s="193">
        <v>18.8</v>
      </c>
      <c r="N2499" s="173" t="s">
        <v>571</v>
      </c>
    </row>
    <row r="2500" spans="1:14" x14ac:dyDescent="0.25">
      <c r="A2500" s="63" t="s">
        <v>570</v>
      </c>
      <c r="B2500" s="71" t="s">
        <v>3832</v>
      </c>
      <c r="C2500" s="2">
        <v>4099854049897</v>
      </c>
      <c r="D2500" s="118"/>
      <c r="E2500" s="132"/>
      <c r="F2500" s="28"/>
      <c r="G2500" s="156" t="str">
        <f>HYPERLINK("https://ledvance.com/pt/product-datasheet/275740/235267","Ficha Técnica")</f>
        <v>Ficha Técnica</v>
      </c>
      <c r="H2500" s="15">
        <v>4</v>
      </c>
      <c r="I2500" s="163">
        <v>60</v>
      </c>
      <c r="J2500" s="15" t="s">
        <v>1886</v>
      </c>
      <c r="K2500" s="163" t="s">
        <v>46</v>
      </c>
      <c r="L2500" s="15">
        <v>3</v>
      </c>
      <c r="M2500" s="193">
        <v>22.2</v>
      </c>
      <c r="N2500" s="173" t="s">
        <v>571</v>
      </c>
    </row>
    <row r="2501" spans="1:14" x14ac:dyDescent="0.25">
      <c r="A2501" s="63" t="s">
        <v>570</v>
      </c>
      <c r="B2501" s="71" t="s">
        <v>3833</v>
      </c>
      <c r="C2501" s="2">
        <v>4099854049958</v>
      </c>
      <c r="D2501" s="118"/>
      <c r="E2501" s="132"/>
      <c r="F2501" s="28"/>
      <c r="G2501" s="156" t="str">
        <f>HYPERLINK("https://ledvance.com/pt/product-datasheet/275740/235270","Ficha Técnica")</f>
        <v>Ficha Técnica</v>
      </c>
      <c r="H2501" s="15">
        <v>4</v>
      </c>
      <c r="I2501" s="163">
        <v>60</v>
      </c>
      <c r="J2501" s="15" t="s">
        <v>1886</v>
      </c>
      <c r="K2501" s="163" t="s">
        <v>46</v>
      </c>
      <c r="L2501" s="15">
        <v>3</v>
      </c>
      <c r="M2501" s="193">
        <v>24.2</v>
      </c>
      <c r="N2501" s="173" t="s">
        <v>571</v>
      </c>
    </row>
    <row r="2502" spans="1:14" x14ac:dyDescent="0.25">
      <c r="A2502" s="63" t="s">
        <v>570</v>
      </c>
      <c r="B2502" s="71" t="s">
        <v>3834</v>
      </c>
      <c r="C2502" s="2">
        <v>4099854049996</v>
      </c>
      <c r="D2502" s="118"/>
      <c r="E2502" s="132"/>
      <c r="F2502" s="28"/>
      <c r="G2502" s="156" t="str">
        <f>HYPERLINK("https://ledvance.com/pt/product-datasheet/275740/235255","Ficha Técnica")</f>
        <v>Ficha Técnica</v>
      </c>
      <c r="H2502" s="15">
        <v>6</v>
      </c>
      <c r="I2502" s="163">
        <v>80</v>
      </c>
      <c r="J2502" s="15" t="s">
        <v>1898</v>
      </c>
      <c r="K2502" s="163" t="s">
        <v>46</v>
      </c>
      <c r="L2502" s="15">
        <v>3</v>
      </c>
      <c r="M2502" s="193">
        <v>18.399999999999999</v>
      </c>
      <c r="N2502" s="173" t="s">
        <v>571</v>
      </c>
    </row>
    <row r="2503" spans="1:14" x14ac:dyDescent="0.25">
      <c r="A2503" s="63" t="s">
        <v>570</v>
      </c>
      <c r="B2503" s="71" t="s">
        <v>3835</v>
      </c>
      <c r="C2503" s="2">
        <v>4099854049972</v>
      </c>
      <c r="D2503" s="118"/>
      <c r="E2503" s="132"/>
      <c r="F2503" s="28"/>
      <c r="G2503" s="156" t="str">
        <f>HYPERLINK("https://ledvance.com/pt/product-datasheet/275740/235246","Ficha Técnica")</f>
        <v>Ficha Técnica</v>
      </c>
      <c r="H2503" s="15">
        <v>6</v>
      </c>
      <c r="I2503" s="163">
        <v>100</v>
      </c>
      <c r="J2503" s="15" t="s">
        <v>1898</v>
      </c>
      <c r="K2503" s="163" t="s">
        <v>46</v>
      </c>
      <c r="L2503" s="15">
        <v>3</v>
      </c>
      <c r="M2503" s="193">
        <v>15.4</v>
      </c>
      <c r="N2503" s="173" t="s">
        <v>571</v>
      </c>
    </row>
    <row r="2504" spans="1:14" x14ac:dyDescent="0.25">
      <c r="A2504" s="63" t="s">
        <v>570</v>
      </c>
      <c r="B2504" s="71" t="s">
        <v>3836</v>
      </c>
      <c r="C2504" s="2">
        <v>4099854049873</v>
      </c>
      <c r="D2504" s="118"/>
      <c r="E2504" s="132"/>
      <c r="F2504" s="28"/>
      <c r="G2504" s="156" t="str">
        <f>HYPERLINK("https://ledvance.com/pt/product-datasheet/275740/235258","Ficha Técnica")</f>
        <v>Ficha Técnica</v>
      </c>
      <c r="H2504" s="15">
        <v>4</v>
      </c>
      <c r="I2504" s="163">
        <v>120</v>
      </c>
      <c r="J2504" s="15" t="s">
        <v>1886</v>
      </c>
      <c r="K2504" s="163" t="s">
        <v>46</v>
      </c>
      <c r="L2504" s="15">
        <v>3</v>
      </c>
      <c r="M2504" s="193">
        <v>21.8</v>
      </c>
      <c r="N2504" s="173" t="s">
        <v>571</v>
      </c>
    </row>
    <row r="2505" spans="1:14" x14ac:dyDescent="0.25">
      <c r="A2505" s="63" t="s">
        <v>570</v>
      </c>
      <c r="B2505" s="71" t="s">
        <v>3837</v>
      </c>
      <c r="C2505" s="2">
        <v>4099854049934</v>
      </c>
      <c r="D2505" s="118"/>
      <c r="E2505" s="132"/>
      <c r="F2505" s="28"/>
      <c r="G2505" s="156" t="str">
        <f>HYPERLINK("https://ledvance.com/pt/product-datasheet/275740/235261","Ficha Técnica")</f>
        <v>Ficha Técnica</v>
      </c>
      <c r="H2505" s="15">
        <v>4</v>
      </c>
      <c r="I2505" s="163">
        <v>120</v>
      </c>
      <c r="J2505" s="15" t="s">
        <v>1886</v>
      </c>
      <c r="K2505" s="163" t="s">
        <v>46</v>
      </c>
      <c r="L2505" s="15">
        <v>3</v>
      </c>
      <c r="M2505" s="193">
        <v>23.6</v>
      </c>
      <c r="N2505" s="173" t="s">
        <v>571</v>
      </c>
    </row>
    <row r="2506" spans="1:14" x14ac:dyDescent="0.25">
      <c r="A2506" s="63" t="s">
        <v>570</v>
      </c>
      <c r="B2506" s="71" t="s">
        <v>3838</v>
      </c>
      <c r="C2506" s="2">
        <v>4099854049859</v>
      </c>
      <c r="D2506" s="118"/>
      <c r="E2506" s="132"/>
      <c r="F2506" s="28"/>
      <c r="G2506" s="156" t="str">
        <f>HYPERLINK("https://ledvance.com/pt/product-datasheet/275740/235249","Ficha Técnica")</f>
        <v>Ficha Técnica</v>
      </c>
      <c r="H2506" s="15">
        <v>4</v>
      </c>
      <c r="I2506" s="163">
        <v>150</v>
      </c>
      <c r="J2506" s="15" t="s">
        <v>1886</v>
      </c>
      <c r="K2506" s="163" t="s">
        <v>46</v>
      </c>
      <c r="L2506" s="15">
        <v>3</v>
      </c>
      <c r="M2506" s="193">
        <v>22.4</v>
      </c>
      <c r="N2506" s="173" t="s">
        <v>571</v>
      </c>
    </row>
    <row r="2507" spans="1:14" x14ac:dyDescent="0.25">
      <c r="A2507" s="63" t="s">
        <v>570</v>
      </c>
      <c r="B2507" s="71" t="s">
        <v>3839</v>
      </c>
      <c r="C2507" s="2">
        <v>4099854049910</v>
      </c>
      <c r="D2507" s="118"/>
      <c r="E2507" s="132"/>
      <c r="F2507" s="28"/>
      <c r="G2507" s="156" t="str">
        <f>HYPERLINK("https://ledvance.com/pt/product-datasheet/275740/235252","Ficha Técnica")</f>
        <v>Ficha Técnica</v>
      </c>
      <c r="H2507" s="15">
        <v>4</v>
      </c>
      <c r="I2507" s="163">
        <v>150</v>
      </c>
      <c r="J2507" s="15" t="s">
        <v>1886</v>
      </c>
      <c r="K2507" s="163" t="s">
        <v>46</v>
      </c>
      <c r="L2507" s="15">
        <v>3</v>
      </c>
      <c r="M2507" s="193">
        <v>20.399999999999999</v>
      </c>
      <c r="N2507" s="173" t="s">
        <v>571</v>
      </c>
    </row>
    <row r="2508" spans="1:14" x14ac:dyDescent="0.25">
      <c r="A2508" s="66" t="s">
        <v>570</v>
      </c>
      <c r="B2508" s="69" t="s">
        <v>1665</v>
      </c>
      <c r="C2508" s="52"/>
      <c r="D2508" s="65"/>
      <c r="E2508" s="92"/>
      <c r="F2508" s="12"/>
      <c r="G2508" s="157"/>
      <c r="H2508" s="12"/>
      <c r="I2508" s="62"/>
      <c r="J2508" s="27"/>
      <c r="K2508" s="62"/>
      <c r="L2508" s="12"/>
      <c r="M2508" s="191"/>
      <c r="N2508" s="130"/>
    </row>
    <row r="2509" spans="1:14" x14ac:dyDescent="0.25">
      <c r="A2509" s="63" t="s">
        <v>570</v>
      </c>
      <c r="B2509" s="81" t="s">
        <v>3840</v>
      </c>
      <c r="C2509" s="2">
        <v>4058075836365</v>
      </c>
      <c r="D2509" s="118"/>
      <c r="E2509" s="132"/>
      <c r="F2509" s="28"/>
      <c r="G2509" s="156" t="str">
        <f>HYPERLINK("https://ledvance.com/pt/product-datasheet/303843/288809","Ficha Técnica")</f>
        <v>Ficha Técnica</v>
      </c>
      <c r="H2509" s="15">
        <v>4</v>
      </c>
      <c r="I2509" s="163">
        <v>120</v>
      </c>
      <c r="J2509" s="15">
        <v>4</v>
      </c>
      <c r="K2509" s="163" t="s">
        <v>46</v>
      </c>
      <c r="L2509" s="15">
        <v>3</v>
      </c>
      <c r="M2509" s="193">
        <v>57.1</v>
      </c>
      <c r="N2509" s="173" t="s">
        <v>571</v>
      </c>
    </row>
    <row r="2510" spans="1:14" x14ac:dyDescent="0.25">
      <c r="A2510" s="63" t="s">
        <v>570</v>
      </c>
      <c r="B2510" s="81" t="s">
        <v>3841</v>
      </c>
      <c r="C2510" s="2">
        <v>4058075836389</v>
      </c>
      <c r="D2510" s="118"/>
      <c r="E2510" s="132"/>
      <c r="F2510" s="28"/>
      <c r="G2510" s="156" t="str">
        <f>HYPERLINK("https://ledvance.com/pt/product-datasheet/303843/288740","Ficha Técnica")</f>
        <v>Ficha Técnica</v>
      </c>
      <c r="H2510" s="15">
        <v>4</v>
      </c>
      <c r="I2510" s="163">
        <v>200</v>
      </c>
      <c r="J2510" s="15" t="s">
        <v>1892</v>
      </c>
      <c r="K2510" s="163" t="s">
        <v>46</v>
      </c>
      <c r="L2510" s="15">
        <v>3</v>
      </c>
      <c r="M2510" s="193">
        <v>56.9</v>
      </c>
      <c r="N2510" s="173" t="s">
        <v>571</v>
      </c>
    </row>
    <row r="2511" spans="1:14" x14ac:dyDescent="0.25">
      <c r="A2511" s="63" t="s">
        <v>570</v>
      </c>
      <c r="B2511" s="81" t="s">
        <v>3842</v>
      </c>
      <c r="C2511" s="2">
        <v>4058075836402</v>
      </c>
      <c r="D2511" s="118"/>
      <c r="E2511" s="132"/>
      <c r="F2511" s="28"/>
      <c r="G2511" s="156" t="str">
        <f>HYPERLINK("https://ledvance.com/pt/product-datasheet/303843/288743","Ficha Técnica")</f>
        <v>Ficha Técnica</v>
      </c>
      <c r="H2511" s="15">
        <v>4</v>
      </c>
      <c r="I2511" s="163">
        <v>200</v>
      </c>
      <c r="J2511" s="15" t="s">
        <v>1892</v>
      </c>
      <c r="K2511" s="163" t="s">
        <v>46</v>
      </c>
      <c r="L2511" s="15">
        <v>3</v>
      </c>
      <c r="M2511" s="193">
        <v>53.9</v>
      </c>
      <c r="N2511" s="173" t="s">
        <v>571</v>
      </c>
    </row>
    <row r="2512" spans="1:14" x14ac:dyDescent="0.25">
      <c r="A2512" s="63" t="s">
        <v>570</v>
      </c>
      <c r="B2512" s="81" t="s">
        <v>3843</v>
      </c>
      <c r="C2512" s="2">
        <v>4058075836426</v>
      </c>
      <c r="D2512" s="118"/>
      <c r="E2512" s="132"/>
      <c r="F2512" s="28"/>
      <c r="G2512" s="156" t="str">
        <f>HYPERLINK("https://ledvance.com/pt/product-datasheet/303843/288746","Ficha Técnica")</f>
        <v>Ficha Técnica</v>
      </c>
      <c r="H2512" s="15">
        <v>4</v>
      </c>
      <c r="I2512" s="163">
        <v>200</v>
      </c>
      <c r="J2512" s="15" t="s">
        <v>1892</v>
      </c>
      <c r="K2512" s="163" t="s">
        <v>46</v>
      </c>
      <c r="L2512" s="15">
        <v>3</v>
      </c>
      <c r="M2512" s="193">
        <v>62.2</v>
      </c>
      <c r="N2512" s="173" t="s">
        <v>571</v>
      </c>
    </row>
    <row r="2513" spans="1:14" x14ac:dyDescent="0.25">
      <c r="A2513" s="63" t="s">
        <v>570</v>
      </c>
      <c r="B2513" s="81" t="s">
        <v>1518</v>
      </c>
      <c r="C2513" s="2">
        <v>4058075836440</v>
      </c>
      <c r="D2513" s="118"/>
      <c r="E2513" s="132"/>
      <c r="F2513" s="28"/>
      <c r="G2513" s="156" t="str">
        <f>HYPERLINK("https://ledvance.com/pt/product-datasheet/303843/288749","Ficha Técnica")</f>
        <v>Ficha Técnica</v>
      </c>
      <c r="H2513" s="15">
        <v>4</v>
      </c>
      <c r="I2513" s="163">
        <v>60</v>
      </c>
      <c r="J2513" s="15">
        <v>4</v>
      </c>
      <c r="K2513" s="163" t="s">
        <v>46</v>
      </c>
      <c r="L2513" s="15">
        <v>3</v>
      </c>
      <c r="M2513" s="193">
        <v>57.1</v>
      </c>
      <c r="N2513" s="173" t="s">
        <v>571</v>
      </c>
    </row>
    <row r="2514" spans="1:14" x14ac:dyDescent="0.25">
      <c r="A2514" s="63" t="s">
        <v>570</v>
      </c>
      <c r="B2514" s="81" t="s">
        <v>1519</v>
      </c>
      <c r="C2514" s="2">
        <v>4058075836464</v>
      </c>
      <c r="D2514" s="118"/>
      <c r="E2514" s="132"/>
      <c r="F2514" s="28"/>
      <c r="G2514" s="156" t="str">
        <f>HYPERLINK("https://ledvance.com/pt/product-datasheet/303843/288752","Ficha Técnica")</f>
        <v>Ficha Técnica</v>
      </c>
      <c r="H2514" s="15">
        <v>4</v>
      </c>
      <c r="I2514" s="163">
        <v>100</v>
      </c>
      <c r="J2514" s="15" t="s">
        <v>1892</v>
      </c>
      <c r="K2514" s="163" t="s">
        <v>46</v>
      </c>
      <c r="L2514" s="15">
        <v>3</v>
      </c>
      <c r="M2514" s="193">
        <v>56.9</v>
      </c>
      <c r="N2514" s="173" t="s">
        <v>571</v>
      </c>
    </row>
    <row r="2515" spans="1:14" x14ac:dyDescent="0.25">
      <c r="A2515" s="63" t="s">
        <v>570</v>
      </c>
      <c r="B2515" s="81" t="s">
        <v>1520</v>
      </c>
      <c r="C2515" s="2">
        <v>4058075836488</v>
      </c>
      <c r="D2515" s="118"/>
      <c r="E2515" s="132"/>
      <c r="F2515" s="28"/>
      <c r="G2515" s="156" t="str">
        <f>HYPERLINK("https://ledvance.com/pt/product-datasheet/303843/288755","Ficha Técnica")</f>
        <v>Ficha Técnica</v>
      </c>
      <c r="H2515" s="15">
        <v>4</v>
      </c>
      <c r="I2515" s="163">
        <v>100</v>
      </c>
      <c r="J2515" s="15" t="s">
        <v>1892</v>
      </c>
      <c r="K2515" s="163" t="s">
        <v>46</v>
      </c>
      <c r="L2515" s="15">
        <v>3</v>
      </c>
      <c r="M2515" s="193">
        <v>53.9</v>
      </c>
      <c r="N2515" s="173" t="s">
        <v>571</v>
      </c>
    </row>
    <row r="2516" spans="1:14" x14ac:dyDescent="0.25">
      <c r="A2516" s="63" t="s">
        <v>570</v>
      </c>
      <c r="B2516" s="81" t="s">
        <v>1521</v>
      </c>
      <c r="C2516" s="2">
        <v>4058075836501</v>
      </c>
      <c r="D2516" s="118"/>
      <c r="E2516" s="132"/>
      <c r="F2516" s="28"/>
      <c r="G2516" s="156" t="str">
        <f>HYPERLINK("https://ledvance.com/pt/product-datasheet/303843/288758","Ficha Técnica")</f>
        <v>Ficha Técnica</v>
      </c>
      <c r="H2516" s="15">
        <v>4</v>
      </c>
      <c r="I2516" s="163">
        <v>100</v>
      </c>
      <c r="J2516" s="15" t="s">
        <v>1892</v>
      </c>
      <c r="K2516" s="163" t="s">
        <v>46</v>
      </c>
      <c r="L2516" s="15">
        <v>3</v>
      </c>
      <c r="M2516" s="193">
        <v>62.2</v>
      </c>
      <c r="N2516" s="173" t="s">
        <v>571</v>
      </c>
    </row>
    <row r="2517" spans="1:14" x14ac:dyDescent="0.25">
      <c r="A2517" s="66" t="s">
        <v>570</v>
      </c>
      <c r="B2517" s="69" t="s">
        <v>710</v>
      </c>
      <c r="C2517" s="52"/>
      <c r="D2517" s="65"/>
      <c r="E2517" s="92"/>
      <c r="F2517" s="12"/>
      <c r="G2517" s="157"/>
      <c r="H2517" s="12"/>
      <c r="I2517" s="62"/>
      <c r="J2517" s="27"/>
      <c r="K2517" s="62"/>
      <c r="L2517" s="12"/>
      <c r="M2517" s="191"/>
      <c r="N2517" s="130"/>
    </row>
    <row r="2518" spans="1:14" x14ac:dyDescent="0.25">
      <c r="A2518" s="63" t="s">
        <v>570</v>
      </c>
      <c r="B2518" s="71" t="s">
        <v>3844</v>
      </c>
      <c r="C2518" s="2">
        <v>4099854075667</v>
      </c>
      <c r="D2518" s="118"/>
      <c r="E2518" s="132"/>
      <c r="F2518" s="28"/>
      <c r="G2518" s="156" t="str">
        <f>HYPERLINK("https://ledvance.com/pt/product-datasheet/275560/240632","Ficha Técnica")</f>
        <v>Ficha Técnica</v>
      </c>
      <c r="H2518" s="15">
        <v>4</v>
      </c>
      <c r="I2518" s="163">
        <v>470</v>
      </c>
      <c r="J2518" s="15" t="s">
        <v>1892</v>
      </c>
      <c r="K2518" s="163" t="s">
        <v>46</v>
      </c>
      <c r="L2518" s="15">
        <v>3</v>
      </c>
      <c r="M2518" s="193">
        <v>25.5</v>
      </c>
      <c r="N2518" s="173" t="s">
        <v>571</v>
      </c>
    </row>
    <row r="2519" spans="1:14" x14ac:dyDescent="0.25">
      <c r="A2519" s="63" t="s">
        <v>570</v>
      </c>
      <c r="B2519" s="71" t="s">
        <v>3845</v>
      </c>
      <c r="C2519" s="2">
        <v>4099854075681</v>
      </c>
      <c r="D2519" s="118"/>
      <c r="E2519" s="132"/>
      <c r="F2519" s="28"/>
      <c r="G2519" s="156" t="str">
        <f>HYPERLINK("https://ledvance.com/pt/product-datasheet/275559/240635","Ficha Técnica")</f>
        <v>Ficha Técnica</v>
      </c>
      <c r="H2519" s="15">
        <v>4</v>
      </c>
      <c r="I2519" s="163">
        <v>470</v>
      </c>
      <c r="J2519" s="15" t="s">
        <v>1892</v>
      </c>
      <c r="K2519" s="163" t="s">
        <v>46</v>
      </c>
      <c r="L2519" s="15">
        <v>3</v>
      </c>
      <c r="M2519" s="193">
        <v>40.5</v>
      </c>
      <c r="N2519" s="173" t="s">
        <v>571</v>
      </c>
    </row>
    <row r="2520" spans="1:14" x14ac:dyDescent="0.25">
      <c r="A2520" s="63" t="s">
        <v>570</v>
      </c>
      <c r="B2520" s="71" t="s">
        <v>3846</v>
      </c>
      <c r="C2520" s="2">
        <v>4099854075704</v>
      </c>
      <c r="D2520" s="118"/>
      <c r="E2520" s="132"/>
      <c r="F2520" s="28"/>
      <c r="G2520" s="156" t="str">
        <f>HYPERLINK("https://ledvance.com/pt/product-datasheet/275559/240638","Ficha Técnica")</f>
        <v>Ficha Técnica</v>
      </c>
      <c r="H2520" s="15">
        <v>4</v>
      </c>
      <c r="I2520" s="163">
        <v>470</v>
      </c>
      <c r="J2520" s="15" t="s">
        <v>1892</v>
      </c>
      <c r="K2520" s="163" t="s">
        <v>46</v>
      </c>
      <c r="L2520" s="15">
        <v>3</v>
      </c>
      <c r="M2520" s="193">
        <v>38.1</v>
      </c>
      <c r="N2520" s="173" t="s">
        <v>571</v>
      </c>
    </row>
    <row r="2521" spans="1:14" x14ac:dyDescent="0.25">
      <c r="A2521" s="63" t="s">
        <v>570</v>
      </c>
      <c r="B2521" s="71" t="s">
        <v>3847</v>
      </c>
      <c r="C2521" s="2">
        <v>4099854075643</v>
      </c>
      <c r="D2521" s="118"/>
      <c r="E2521" s="132"/>
      <c r="F2521" s="28"/>
      <c r="G2521" s="156" t="str">
        <f>HYPERLINK("https://ledvance.com/pt/product-datasheet/275556/240629","Ficha Técnica")</f>
        <v>Ficha Técnica</v>
      </c>
      <c r="H2521" s="15">
        <v>6</v>
      </c>
      <c r="I2521" s="163">
        <v>470</v>
      </c>
      <c r="J2521" s="15" t="s">
        <v>1892</v>
      </c>
      <c r="K2521" s="163" t="s">
        <v>46</v>
      </c>
      <c r="L2521" s="15">
        <v>3</v>
      </c>
      <c r="M2521" s="193">
        <v>24.9</v>
      </c>
      <c r="N2521" s="173" t="s">
        <v>571</v>
      </c>
    </row>
    <row r="2522" spans="1:14" x14ac:dyDescent="0.25">
      <c r="A2522" s="63" t="s">
        <v>570</v>
      </c>
      <c r="B2522" s="71" t="s">
        <v>3848</v>
      </c>
      <c r="C2522" s="2">
        <v>4099854075728</v>
      </c>
      <c r="D2522" s="118"/>
      <c r="E2522" s="132"/>
      <c r="F2522" s="28"/>
      <c r="G2522" s="156" t="str">
        <f>HYPERLINK("https://ledvance.com/pt/product-datasheet/275556/240641","Ficha Técnica")</f>
        <v>Ficha Técnica</v>
      </c>
      <c r="H2522" s="15">
        <v>6</v>
      </c>
      <c r="I2522" s="163">
        <v>470</v>
      </c>
      <c r="J2522" s="15" t="s">
        <v>1892</v>
      </c>
      <c r="K2522" s="163" t="s">
        <v>46</v>
      </c>
      <c r="L2522" s="15">
        <v>3</v>
      </c>
      <c r="M2522" s="193">
        <v>22.7</v>
      </c>
      <c r="N2522" s="173" t="s">
        <v>571</v>
      </c>
    </row>
    <row r="2523" spans="1:14" x14ac:dyDescent="0.25">
      <c r="A2523" s="63" t="s">
        <v>570</v>
      </c>
      <c r="B2523" s="71" t="s">
        <v>3849</v>
      </c>
      <c r="C2523" s="2">
        <v>4099854075742</v>
      </c>
      <c r="D2523" s="118"/>
      <c r="E2523" s="132"/>
      <c r="F2523" s="28"/>
      <c r="G2523" s="156" t="str">
        <f>HYPERLINK("https://ledvance.com/pt/product-datasheet/275556/240644","Ficha Técnica")</f>
        <v>Ficha Técnica</v>
      </c>
      <c r="H2523" s="15">
        <v>6</v>
      </c>
      <c r="I2523" s="163">
        <v>470</v>
      </c>
      <c r="J2523" s="15" t="s">
        <v>1892</v>
      </c>
      <c r="K2523" s="163" t="s">
        <v>46</v>
      </c>
      <c r="L2523" s="15">
        <v>3</v>
      </c>
      <c r="M2523" s="193">
        <v>22.7</v>
      </c>
      <c r="N2523" s="173" t="s">
        <v>571</v>
      </c>
    </row>
    <row r="2524" spans="1:14" x14ac:dyDescent="0.25">
      <c r="A2524" s="66" t="s">
        <v>570</v>
      </c>
      <c r="B2524" s="69" t="s">
        <v>711</v>
      </c>
      <c r="C2524" s="52"/>
      <c r="D2524" s="65"/>
      <c r="E2524" s="92"/>
      <c r="F2524" s="12"/>
      <c r="G2524" s="157"/>
      <c r="H2524" s="12"/>
      <c r="I2524" s="62"/>
      <c r="J2524" s="27"/>
      <c r="K2524" s="62"/>
      <c r="L2524" s="12"/>
      <c r="M2524" s="191"/>
      <c r="N2524" s="130"/>
    </row>
    <row r="2525" spans="1:14" x14ac:dyDescent="0.25">
      <c r="A2525" s="63" t="s">
        <v>570</v>
      </c>
      <c r="B2525" s="71" t="s">
        <v>712</v>
      </c>
      <c r="C2525" s="2">
        <v>4058075270008</v>
      </c>
      <c r="D2525" s="118"/>
      <c r="E2525" s="119"/>
      <c r="F2525" s="25"/>
      <c r="G2525" s="156" t="str">
        <f>HYPERLINK("https://ledvance.com/pt/product-datasheet/275562/48897","Ficha Técnica")</f>
        <v>Ficha Técnica</v>
      </c>
      <c r="H2525" s="15">
        <v>4</v>
      </c>
      <c r="I2525" s="163">
        <v>300</v>
      </c>
      <c r="J2525" s="15">
        <v>4</v>
      </c>
      <c r="K2525" s="163" t="s">
        <v>46</v>
      </c>
      <c r="L2525" s="15">
        <v>3</v>
      </c>
      <c r="M2525" s="193">
        <v>22</v>
      </c>
      <c r="N2525" s="173" t="s">
        <v>571</v>
      </c>
    </row>
    <row r="2526" spans="1:14" x14ac:dyDescent="0.25">
      <c r="A2526" s="63" t="s">
        <v>570</v>
      </c>
      <c r="B2526" s="71" t="s">
        <v>713</v>
      </c>
      <c r="C2526" s="2">
        <v>4099854090103</v>
      </c>
      <c r="D2526" s="118"/>
      <c r="E2526" s="119"/>
      <c r="F2526" s="25"/>
      <c r="G2526" s="156" t="str">
        <f>HYPERLINK("https://ledvance.com/pt/product-datasheet/275563/246498","Ficha Técnica")</f>
        <v>Ficha Técnica</v>
      </c>
      <c r="H2526" s="15">
        <v>4</v>
      </c>
      <c r="I2526" s="163">
        <v>300</v>
      </c>
      <c r="J2526" s="15">
        <v>4</v>
      </c>
      <c r="K2526" s="163" t="s">
        <v>46</v>
      </c>
      <c r="L2526" s="15">
        <v>3</v>
      </c>
      <c r="M2526" s="193">
        <v>13.1</v>
      </c>
      <c r="N2526" s="173" t="s">
        <v>571</v>
      </c>
    </row>
    <row r="2527" spans="1:14" x14ac:dyDescent="0.25">
      <c r="A2527" s="63" t="s">
        <v>570</v>
      </c>
      <c r="B2527" s="71" t="s">
        <v>3850</v>
      </c>
      <c r="C2527" s="2">
        <v>4058075779945</v>
      </c>
      <c r="D2527" s="118"/>
      <c r="E2527" s="119"/>
      <c r="F2527" s="25"/>
      <c r="G2527" s="156" t="str">
        <f>HYPERLINK("https://ledvance.com/pt/product-datasheet/275563/212545","Ficha Técnica")</f>
        <v>Ficha Técnica</v>
      </c>
      <c r="H2527" s="15">
        <v>6</v>
      </c>
      <c r="I2527" s="163">
        <v>360</v>
      </c>
      <c r="J2527" s="15" t="s">
        <v>1892</v>
      </c>
      <c r="K2527" s="163" t="s">
        <v>46</v>
      </c>
      <c r="L2527" s="15">
        <v>3</v>
      </c>
      <c r="M2527" s="193">
        <v>7.4</v>
      </c>
      <c r="N2527" s="173" t="s">
        <v>571</v>
      </c>
    </row>
    <row r="2528" spans="1:14" x14ac:dyDescent="0.25">
      <c r="A2528" s="63" t="s">
        <v>570</v>
      </c>
      <c r="B2528" s="71" t="s">
        <v>714</v>
      </c>
      <c r="C2528" s="2">
        <v>4058075269729</v>
      </c>
      <c r="D2528" s="118"/>
      <c r="E2528" s="119"/>
      <c r="F2528" s="25"/>
      <c r="G2528" s="156" t="str">
        <f>HYPERLINK("https://ledvance.com/pt/product-datasheet/275562/48903","Ficha Técnica")</f>
        <v>Ficha Técnica</v>
      </c>
      <c r="H2528" s="15">
        <v>4</v>
      </c>
      <c r="I2528" s="163">
        <v>300</v>
      </c>
      <c r="J2528" s="15">
        <v>4</v>
      </c>
      <c r="K2528" s="163" t="s">
        <v>46</v>
      </c>
      <c r="L2528" s="15">
        <v>3</v>
      </c>
      <c r="M2528" s="193">
        <v>64.5</v>
      </c>
      <c r="N2528" s="173" t="s">
        <v>571</v>
      </c>
    </row>
    <row r="2529" spans="1:14" x14ac:dyDescent="0.25">
      <c r="A2529" s="63" t="s">
        <v>570</v>
      </c>
      <c r="B2529" s="71" t="s">
        <v>715</v>
      </c>
      <c r="C2529" s="2">
        <v>4058075269705</v>
      </c>
      <c r="D2529" s="118"/>
      <c r="E2529" s="119"/>
      <c r="F2529" s="25"/>
      <c r="G2529" s="156" t="str">
        <f>HYPERLINK("https://ledvance.com/pt/product-datasheet/275561/48906","Ficha Técnica")</f>
        <v>Ficha Técnica</v>
      </c>
      <c r="H2529" s="15">
        <v>4</v>
      </c>
      <c r="I2529" s="163">
        <v>300</v>
      </c>
      <c r="J2529" s="15">
        <v>4</v>
      </c>
      <c r="K2529" s="163" t="s">
        <v>46</v>
      </c>
      <c r="L2529" s="15">
        <v>3</v>
      </c>
      <c r="M2529" s="193">
        <v>64.5</v>
      </c>
      <c r="N2529" s="173" t="s">
        <v>571</v>
      </c>
    </row>
    <row r="2530" spans="1:14" x14ac:dyDescent="0.25">
      <c r="A2530" s="63" t="s">
        <v>570</v>
      </c>
      <c r="B2530" s="71" t="s">
        <v>716</v>
      </c>
      <c r="C2530" s="2">
        <v>4058075270046</v>
      </c>
      <c r="D2530" s="118"/>
      <c r="E2530" s="119"/>
      <c r="F2530" s="25"/>
      <c r="G2530" s="156" t="str">
        <f>HYPERLINK("https://ledvance.com/pt/product-datasheet/275562/32921","Ficha Técnica")</f>
        <v>Ficha Técnica</v>
      </c>
      <c r="H2530" s="15">
        <v>4</v>
      </c>
      <c r="I2530" s="163">
        <v>140</v>
      </c>
      <c r="J2530" s="15">
        <v>4</v>
      </c>
      <c r="K2530" s="163" t="s">
        <v>46</v>
      </c>
      <c r="L2530" s="15">
        <v>3</v>
      </c>
      <c r="M2530" s="193">
        <v>64.5</v>
      </c>
      <c r="N2530" s="173" t="s">
        <v>571</v>
      </c>
    </row>
    <row r="2531" spans="1:14" x14ac:dyDescent="0.25">
      <c r="A2531" s="63" t="s">
        <v>570</v>
      </c>
      <c r="B2531" s="71" t="s">
        <v>717</v>
      </c>
      <c r="C2531" s="2">
        <v>4058075270022</v>
      </c>
      <c r="D2531" s="118"/>
      <c r="E2531" s="119"/>
      <c r="F2531" s="25"/>
      <c r="G2531" s="156" t="str">
        <f>HYPERLINK("https://ledvance.com/pt/product-datasheet/275561/31713","Ficha Técnica")</f>
        <v>Ficha Técnica</v>
      </c>
      <c r="H2531" s="15">
        <v>4</v>
      </c>
      <c r="I2531" s="163">
        <v>140</v>
      </c>
      <c r="J2531" s="15">
        <v>4</v>
      </c>
      <c r="K2531" s="163" t="s">
        <v>46</v>
      </c>
      <c r="L2531" s="15">
        <v>3</v>
      </c>
      <c r="M2531" s="193">
        <v>64.5</v>
      </c>
      <c r="N2531" s="173" t="s">
        <v>571</v>
      </c>
    </row>
    <row r="2532" spans="1:14" x14ac:dyDescent="0.25">
      <c r="A2532" s="66" t="s">
        <v>570</v>
      </c>
      <c r="B2532" s="69" t="s">
        <v>718</v>
      </c>
      <c r="C2532" s="52"/>
      <c r="D2532" s="65"/>
      <c r="E2532" s="92"/>
      <c r="F2532" s="12"/>
      <c r="G2532" s="157"/>
      <c r="H2532" s="12"/>
      <c r="I2532" s="62"/>
      <c r="J2532" s="27"/>
      <c r="K2532" s="62"/>
      <c r="L2532" s="12"/>
      <c r="M2532" s="191"/>
      <c r="N2532" s="130"/>
    </row>
    <row r="2533" spans="1:14" x14ac:dyDescent="0.25">
      <c r="A2533" s="63" t="s">
        <v>570</v>
      </c>
      <c r="B2533" s="71" t="s">
        <v>719</v>
      </c>
      <c r="C2533" s="2">
        <v>4099854090981</v>
      </c>
      <c r="D2533" s="118"/>
      <c r="E2533" s="119"/>
      <c r="F2533" s="25"/>
      <c r="G2533" s="156" t="str">
        <f>HYPERLINK("https://ledvance.com/pt/product-datasheet/275560/247032","Ficha Técnica")</f>
        <v>Ficha Técnica</v>
      </c>
      <c r="H2533" s="15">
        <v>4</v>
      </c>
      <c r="I2533" s="163">
        <v>360</v>
      </c>
      <c r="J2533" s="15" t="s">
        <v>1899</v>
      </c>
      <c r="K2533" s="163" t="s">
        <v>46</v>
      </c>
      <c r="L2533" s="15">
        <v>3</v>
      </c>
      <c r="M2533" s="193">
        <v>39.200000000000003</v>
      </c>
      <c r="N2533" s="173" t="s">
        <v>571</v>
      </c>
    </row>
    <row r="2534" spans="1:14" x14ac:dyDescent="0.25">
      <c r="A2534" s="63" t="s">
        <v>570</v>
      </c>
      <c r="B2534" s="71" t="s">
        <v>720</v>
      </c>
      <c r="C2534" s="2">
        <v>4099854090745</v>
      </c>
      <c r="D2534" s="118"/>
      <c r="E2534" s="119"/>
      <c r="F2534" s="25"/>
      <c r="G2534" s="156" t="str">
        <f>HYPERLINK("https://ledvance.com/pt/product-datasheet/275559/247038","Ficha Técnica")</f>
        <v>Ficha Técnica</v>
      </c>
      <c r="H2534" s="15">
        <v>4</v>
      </c>
      <c r="I2534" s="163">
        <v>360</v>
      </c>
      <c r="J2534" s="15" t="s">
        <v>1899</v>
      </c>
      <c r="K2534" s="163" t="s">
        <v>46</v>
      </c>
      <c r="L2534" s="15">
        <v>3</v>
      </c>
      <c r="M2534" s="193">
        <v>28</v>
      </c>
      <c r="N2534" s="173" t="s">
        <v>571</v>
      </c>
    </row>
    <row r="2535" spans="1:14" x14ac:dyDescent="0.25">
      <c r="A2535" s="63" t="s">
        <v>570</v>
      </c>
      <c r="B2535" s="71" t="s">
        <v>721</v>
      </c>
      <c r="C2535" s="2">
        <v>4058075761216</v>
      </c>
      <c r="D2535" s="118"/>
      <c r="E2535" s="119"/>
      <c r="F2535" s="25"/>
      <c r="G2535" s="156" t="str">
        <f>HYPERLINK("https://ledvance.com/pt/product-datasheet/275559/212569","Ficha Técnica")</f>
        <v>Ficha Técnica</v>
      </c>
      <c r="H2535" s="15">
        <v>4</v>
      </c>
      <c r="I2535" s="163">
        <v>360</v>
      </c>
      <c r="J2535" s="15" t="s">
        <v>1899</v>
      </c>
      <c r="K2535" s="163" t="s">
        <v>46</v>
      </c>
      <c r="L2535" s="15">
        <v>3</v>
      </c>
      <c r="M2535" s="193">
        <v>33.700000000000003</v>
      </c>
      <c r="N2535" s="173" t="s">
        <v>571</v>
      </c>
    </row>
    <row r="2536" spans="1:14" x14ac:dyDescent="0.25">
      <c r="A2536" s="63" t="s">
        <v>570</v>
      </c>
      <c r="B2536" s="71" t="s">
        <v>722</v>
      </c>
      <c r="C2536" s="2">
        <v>4058075761254</v>
      </c>
      <c r="D2536" s="118"/>
      <c r="E2536" s="119"/>
      <c r="F2536" s="25"/>
      <c r="G2536" s="156" t="str">
        <f>HYPERLINK("https://ledvance.com/pt/product-datasheet/275559/212421","Ficha Técnica")</f>
        <v>Ficha Técnica</v>
      </c>
      <c r="H2536" s="15">
        <v>4</v>
      </c>
      <c r="I2536" s="163">
        <v>360</v>
      </c>
      <c r="J2536" s="15" t="s">
        <v>1899</v>
      </c>
      <c r="K2536" s="163" t="s">
        <v>46</v>
      </c>
      <c r="L2536" s="15">
        <v>3</v>
      </c>
      <c r="M2536" s="193">
        <v>41</v>
      </c>
      <c r="N2536" s="173" t="s">
        <v>571</v>
      </c>
    </row>
    <row r="2537" spans="1:14" x14ac:dyDescent="0.25">
      <c r="A2537" s="63" t="s">
        <v>570</v>
      </c>
      <c r="B2537" s="71" t="s">
        <v>723</v>
      </c>
      <c r="C2537" s="2">
        <v>4058075761278</v>
      </c>
      <c r="D2537" s="118"/>
      <c r="E2537" s="119"/>
      <c r="F2537" s="25"/>
      <c r="G2537" s="156" t="str">
        <f>HYPERLINK("https://ledvance.com/pt/product-datasheet/275559/212428","Ficha Técnica")</f>
        <v>Ficha Técnica</v>
      </c>
      <c r="H2537" s="15">
        <v>4</v>
      </c>
      <c r="I2537" s="163">
        <v>150</v>
      </c>
      <c r="J2537" s="15" t="s">
        <v>1892</v>
      </c>
      <c r="K2537" s="163" t="s">
        <v>46</v>
      </c>
      <c r="L2537" s="15">
        <v>3</v>
      </c>
      <c r="M2537" s="193">
        <v>89.9</v>
      </c>
      <c r="N2537" s="173" t="s">
        <v>571</v>
      </c>
    </row>
    <row r="2538" spans="1:14" x14ac:dyDescent="0.25">
      <c r="A2538" s="66" t="s">
        <v>570</v>
      </c>
      <c r="B2538" s="69" t="s">
        <v>724</v>
      </c>
      <c r="C2538" s="52"/>
      <c r="D2538" s="65"/>
      <c r="E2538" s="92"/>
      <c r="F2538" s="12"/>
      <c r="G2538" s="157"/>
      <c r="H2538" s="12"/>
      <c r="I2538" s="62"/>
      <c r="J2538" s="27"/>
      <c r="K2538" s="62"/>
      <c r="L2538" s="12"/>
      <c r="M2538" s="191"/>
      <c r="N2538" s="130"/>
    </row>
    <row r="2539" spans="1:14" x14ac:dyDescent="0.25">
      <c r="A2539" s="63" t="s">
        <v>570</v>
      </c>
      <c r="B2539" s="71" t="s">
        <v>725</v>
      </c>
      <c r="C2539" s="2">
        <v>4099854091001</v>
      </c>
      <c r="D2539" s="118"/>
      <c r="E2539" s="119"/>
      <c r="F2539" s="25"/>
      <c r="G2539" s="156" t="str">
        <f>HYPERLINK("https://ledvance.com/pt/product-datasheet/275560/247035","Ficha Técnica")</f>
        <v>Ficha Técnica</v>
      </c>
      <c r="H2539" s="15">
        <v>4</v>
      </c>
      <c r="I2539" s="163">
        <v>500</v>
      </c>
      <c r="J2539" s="15">
        <v>11</v>
      </c>
      <c r="K2539" s="163" t="s">
        <v>46</v>
      </c>
      <c r="L2539" s="15">
        <v>3</v>
      </c>
      <c r="M2539" s="193">
        <v>39.1</v>
      </c>
      <c r="N2539" s="173" t="s">
        <v>571</v>
      </c>
    </row>
    <row r="2540" spans="1:14" x14ac:dyDescent="0.25">
      <c r="A2540" s="63" t="s">
        <v>570</v>
      </c>
      <c r="B2540" s="71" t="s">
        <v>726</v>
      </c>
      <c r="C2540" s="2">
        <v>4099854090783</v>
      </c>
      <c r="D2540" s="118"/>
      <c r="E2540" s="119"/>
      <c r="F2540" s="25"/>
      <c r="G2540" s="156" t="str">
        <f>HYPERLINK("https://ledvance.com/pt/product-datasheet/275559/247043","Ficha Técnica")</f>
        <v>Ficha Técnica</v>
      </c>
      <c r="H2540" s="15">
        <v>4</v>
      </c>
      <c r="I2540" s="163">
        <v>500</v>
      </c>
      <c r="J2540" s="15">
        <v>11</v>
      </c>
      <c r="K2540" s="163" t="s">
        <v>46</v>
      </c>
      <c r="L2540" s="15">
        <v>3</v>
      </c>
      <c r="M2540" s="193">
        <v>37.700000000000003</v>
      </c>
      <c r="N2540" s="173" t="s">
        <v>571</v>
      </c>
    </row>
    <row r="2541" spans="1:14" x14ac:dyDescent="0.25">
      <c r="A2541" s="63" t="s">
        <v>570</v>
      </c>
      <c r="B2541" s="71" t="s">
        <v>727</v>
      </c>
      <c r="C2541" s="2">
        <v>4058075761353</v>
      </c>
      <c r="D2541" s="118"/>
      <c r="E2541" s="119"/>
      <c r="F2541" s="25"/>
      <c r="G2541" s="156" t="str">
        <f>HYPERLINK("https://ledvance.com/pt/product-datasheet/275559/212434","Ficha Técnica")</f>
        <v>Ficha Técnica</v>
      </c>
      <c r="H2541" s="15">
        <v>4</v>
      </c>
      <c r="I2541" s="163">
        <v>500</v>
      </c>
      <c r="J2541" s="15">
        <v>11</v>
      </c>
      <c r="K2541" s="163" t="s">
        <v>46</v>
      </c>
      <c r="L2541" s="15">
        <v>3</v>
      </c>
      <c r="M2541" s="193">
        <v>45.2</v>
      </c>
      <c r="N2541" s="173" t="s">
        <v>571</v>
      </c>
    </row>
    <row r="2542" spans="1:14" x14ac:dyDescent="0.25">
      <c r="A2542" s="63" t="s">
        <v>570</v>
      </c>
      <c r="B2542" s="71" t="s">
        <v>728</v>
      </c>
      <c r="C2542" s="2">
        <v>4058075761391</v>
      </c>
      <c r="D2542" s="118"/>
      <c r="E2542" s="119"/>
      <c r="F2542" s="25"/>
      <c r="G2542" s="156" t="str">
        <f>HYPERLINK("https://ledvance.com/pt/product-datasheet/275559/212437","Ficha Técnica")</f>
        <v>Ficha Técnica</v>
      </c>
      <c r="H2542" s="15">
        <v>4</v>
      </c>
      <c r="I2542" s="163">
        <v>500</v>
      </c>
      <c r="J2542" s="15">
        <v>11</v>
      </c>
      <c r="K2542" s="163" t="s">
        <v>46</v>
      </c>
      <c r="L2542" s="15">
        <v>3</v>
      </c>
      <c r="M2542" s="193">
        <v>51.4</v>
      </c>
      <c r="N2542" s="173" t="s">
        <v>571</v>
      </c>
    </row>
    <row r="2543" spans="1:14" x14ac:dyDescent="0.25">
      <c r="A2543" s="66" t="s">
        <v>570</v>
      </c>
      <c r="B2543" s="69" t="s">
        <v>729</v>
      </c>
      <c r="C2543" s="52"/>
      <c r="D2543" s="65"/>
      <c r="E2543" s="92"/>
      <c r="F2543" s="12"/>
      <c r="G2543" s="157"/>
      <c r="H2543" s="12"/>
      <c r="I2543" s="62"/>
      <c r="J2543" s="27"/>
      <c r="K2543" s="62"/>
      <c r="L2543" s="12"/>
      <c r="M2543" s="191"/>
      <c r="N2543" s="130"/>
    </row>
    <row r="2544" spans="1:14" x14ac:dyDescent="0.25">
      <c r="A2544" s="63" t="s">
        <v>570</v>
      </c>
      <c r="B2544" s="71" t="s">
        <v>730</v>
      </c>
      <c r="C2544" s="2">
        <v>4099854091612</v>
      </c>
      <c r="D2544" s="118"/>
      <c r="E2544" s="119"/>
      <c r="F2544" s="25"/>
      <c r="G2544" s="156" t="str">
        <f>HYPERLINK("https://ledvance.com/pt/product-datasheet/275556/247048","Ficha Técnica")</f>
        <v>Ficha Técnica</v>
      </c>
      <c r="H2544" s="15">
        <v>6</v>
      </c>
      <c r="I2544" s="163">
        <v>250</v>
      </c>
      <c r="J2544" s="15" t="s">
        <v>1900</v>
      </c>
      <c r="K2544" s="163" t="s">
        <v>46</v>
      </c>
      <c r="L2544" s="15">
        <v>3</v>
      </c>
      <c r="M2544" s="193">
        <v>18.3</v>
      </c>
      <c r="N2544" s="173" t="s">
        <v>571</v>
      </c>
    </row>
    <row r="2545" spans="1:14" x14ac:dyDescent="0.25">
      <c r="A2545" s="63" t="s">
        <v>570</v>
      </c>
      <c r="B2545" s="71" t="s">
        <v>731</v>
      </c>
      <c r="C2545" s="2">
        <v>4058075761438</v>
      </c>
      <c r="D2545" s="118"/>
      <c r="E2545" s="119"/>
      <c r="F2545" s="25"/>
      <c r="G2545" s="156" t="str">
        <f>HYPERLINK("https://ledvance.com/pt/product-datasheet/275556/212443","Ficha Técnica")</f>
        <v>Ficha Técnica</v>
      </c>
      <c r="H2545" s="15">
        <v>6</v>
      </c>
      <c r="I2545" s="163">
        <v>250</v>
      </c>
      <c r="J2545" s="15" t="s">
        <v>1900</v>
      </c>
      <c r="K2545" s="163" t="s">
        <v>46</v>
      </c>
      <c r="L2545" s="15">
        <v>3</v>
      </c>
      <c r="M2545" s="193">
        <v>18.399999999999999</v>
      </c>
      <c r="N2545" s="173" t="s">
        <v>571</v>
      </c>
    </row>
    <row r="2546" spans="1:14" x14ac:dyDescent="0.25">
      <c r="A2546" s="63" t="s">
        <v>570</v>
      </c>
      <c r="B2546" s="71" t="s">
        <v>732</v>
      </c>
      <c r="C2546" s="2">
        <v>4058075761452</v>
      </c>
      <c r="D2546" s="118"/>
      <c r="E2546" s="119"/>
      <c r="F2546" s="25"/>
      <c r="G2546" s="156" t="str">
        <f>HYPERLINK("https://ledvance.com/pt/product-datasheet/275556/212446","Ficha Técnica")</f>
        <v>Ficha Técnica</v>
      </c>
      <c r="H2546" s="15">
        <v>6</v>
      </c>
      <c r="I2546" s="163">
        <v>400</v>
      </c>
      <c r="J2546" s="15" t="s">
        <v>1892</v>
      </c>
      <c r="K2546" s="163" t="s">
        <v>46</v>
      </c>
      <c r="L2546" s="15">
        <v>3</v>
      </c>
      <c r="M2546" s="193">
        <v>23.2</v>
      </c>
      <c r="N2546" s="173" t="s">
        <v>571</v>
      </c>
    </row>
    <row r="2547" spans="1:14" x14ac:dyDescent="0.25">
      <c r="A2547" s="63" t="s">
        <v>570</v>
      </c>
      <c r="B2547" s="71" t="s">
        <v>733</v>
      </c>
      <c r="C2547" s="2">
        <v>4099854091025</v>
      </c>
      <c r="D2547" s="118"/>
      <c r="E2547" s="119"/>
      <c r="F2547" s="25"/>
      <c r="G2547" s="156" t="str">
        <f>HYPERLINK("https://ledvance.com/pt/product-datasheet/275560/247054","Ficha Técnica")</f>
        <v>Ficha Técnica</v>
      </c>
      <c r="H2547" s="15">
        <v>4</v>
      </c>
      <c r="I2547" s="163">
        <v>420</v>
      </c>
      <c r="J2547" s="15" t="s">
        <v>1892</v>
      </c>
      <c r="K2547" s="163" t="s">
        <v>46</v>
      </c>
      <c r="L2547" s="15">
        <v>3</v>
      </c>
      <c r="M2547" s="193">
        <v>25</v>
      </c>
      <c r="N2547" s="173" t="s">
        <v>571</v>
      </c>
    </row>
    <row r="2548" spans="1:14" x14ac:dyDescent="0.25">
      <c r="A2548" s="63" t="s">
        <v>570</v>
      </c>
      <c r="B2548" s="71" t="s">
        <v>734</v>
      </c>
      <c r="C2548" s="2">
        <v>4099854091049</v>
      </c>
      <c r="D2548" s="118"/>
      <c r="E2548" s="119"/>
      <c r="F2548" s="25"/>
      <c r="G2548" s="156" t="str">
        <f>HYPERLINK("https://ledvance.com/pt/product-datasheet/275560/247057","Ficha Técnica")</f>
        <v>Ficha Técnica</v>
      </c>
      <c r="H2548" s="15">
        <v>4</v>
      </c>
      <c r="I2548" s="163">
        <v>600</v>
      </c>
      <c r="J2548" s="15">
        <v>7</v>
      </c>
      <c r="K2548" s="163" t="s">
        <v>46</v>
      </c>
      <c r="L2548" s="15">
        <v>3</v>
      </c>
      <c r="M2548" s="193">
        <v>27.1</v>
      </c>
      <c r="N2548" s="173" t="s">
        <v>571</v>
      </c>
    </row>
    <row r="2549" spans="1:14" x14ac:dyDescent="0.25">
      <c r="A2549" s="63" t="s">
        <v>570</v>
      </c>
      <c r="B2549" s="71" t="s">
        <v>735</v>
      </c>
      <c r="C2549" s="2">
        <v>4099854090806</v>
      </c>
      <c r="D2549" s="118"/>
      <c r="E2549" s="119"/>
      <c r="F2549" s="25"/>
      <c r="G2549" s="156" t="str">
        <f>HYPERLINK("https://ledvance.com/pt/product-datasheet/275559/247070","Ficha Técnica")</f>
        <v>Ficha Técnica</v>
      </c>
      <c r="H2549" s="15">
        <v>4</v>
      </c>
      <c r="I2549" s="163">
        <v>420</v>
      </c>
      <c r="J2549" s="15" t="s">
        <v>1892</v>
      </c>
      <c r="K2549" s="163" t="s">
        <v>46</v>
      </c>
      <c r="L2549" s="15">
        <v>3</v>
      </c>
      <c r="M2549" s="193">
        <v>24.6</v>
      </c>
      <c r="N2549" s="173" t="s">
        <v>571</v>
      </c>
    </row>
    <row r="2550" spans="1:14" x14ac:dyDescent="0.25">
      <c r="A2550" s="63" t="s">
        <v>570</v>
      </c>
      <c r="B2550" s="71" t="s">
        <v>736</v>
      </c>
      <c r="C2550" s="2">
        <v>4099854090820</v>
      </c>
      <c r="D2550" s="118"/>
      <c r="E2550" s="119"/>
      <c r="F2550" s="25"/>
      <c r="G2550" s="156" t="str">
        <f>HYPERLINK("https://ledvance.com/pt/product-datasheet/275559/247073","Ficha Técnica")</f>
        <v>Ficha Técnica</v>
      </c>
      <c r="H2550" s="15">
        <v>4</v>
      </c>
      <c r="I2550" s="163">
        <v>600</v>
      </c>
      <c r="J2550" s="15">
        <v>7</v>
      </c>
      <c r="K2550" s="163" t="s">
        <v>46</v>
      </c>
      <c r="L2550" s="15">
        <v>3</v>
      </c>
      <c r="M2550" s="193">
        <v>26.6</v>
      </c>
      <c r="N2550" s="173" t="s">
        <v>571</v>
      </c>
    </row>
    <row r="2551" spans="1:14" x14ac:dyDescent="0.25">
      <c r="A2551" s="63" t="s">
        <v>570</v>
      </c>
      <c r="B2551" s="71" t="s">
        <v>737</v>
      </c>
      <c r="C2551" s="2">
        <v>4058075761612</v>
      </c>
      <c r="D2551" s="118"/>
      <c r="E2551" s="119"/>
      <c r="F2551" s="25"/>
      <c r="G2551" s="156" t="str">
        <f>HYPERLINK("https://ledvance.com/pt/product-datasheet/275559/212471","Ficha Técnica")</f>
        <v>Ficha Técnica</v>
      </c>
      <c r="H2551" s="15">
        <v>4</v>
      </c>
      <c r="I2551" s="163">
        <v>420</v>
      </c>
      <c r="J2551" s="15" t="s">
        <v>1892</v>
      </c>
      <c r="K2551" s="163" t="s">
        <v>46</v>
      </c>
      <c r="L2551" s="15">
        <v>3</v>
      </c>
      <c r="M2551" s="193">
        <v>29.7</v>
      </c>
      <c r="N2551" s="173" t="s">
        <v>571</v>
      </c>
    </row>
    <row r="2552" spans="1:14" x14ac:dyDescent="0.25">
      <c r="A2552" s="63" t="s">
        <v>570</v>
      </c>
      <c r="B2552" s="71" t="s">
        <v>738</v>
      </c>
      <c r="C2552" s="2">
        <v>4058075761636</v>
      </c>
      <c r="D2552" s="118"/>
      <c r="E2552" s="119"/>
      <c r="F2552" s="25"/>
      <c r="G2552" s="156" t="str">
        <f>HYPERLINK("https://ledvance.com/pt/product-datasheet/275559/212474","Ficha Técnica")</f>
        <v>Ficha Técnica</v>
      </c>
      <c r="H2552" s="15">
        <v>4</v>
      </c>
      <c r="I2552" s="163">
        <v>600</v>
      </c>
      <c r="J2552" s="15">
        <v>7</v>
      </c>
      <c r="K2552" s="163" t="s">
        <v>46</v>
      </c>
      <c r="L2552" s="15">
        <v>3</v>
      </c>
      <c r="M2552" s="193">
        <v>32.1</v>
      </c>
      <c r="N2552" s="173" t="s">
        <v>571</v>
      </c>
    </row>
    <row r="2553" spans="1:14" x14ac:dyDescent="0.25">
      <c r="A2553" s="63" t="s">
        <v>570</v>
      </c>
      <c r="B2553" s="71" t="s">
        <v>739</v>
      </c>
      <c r="C2553" s="2">
        <v>4058075761650</v>
      </c>
      <c r="D2553" s="118"/>
      <c r="E2553" s="119"/>
      <c r="F2553" s="25"/>
      <c r="G2553" s="156" t="str">
        <f>HYPERLINK("https://ledvance.com/pt/product-datasheet/275559/212478","Ficha Técnica")</f>
        <v>Ficha Técnica</v>
      </c>
      <c r="H2553" s="15">
        <v>4</v>
      </c>
      <c r="I2553" s="163">
        <v>420</v>
      </c>
      <c r="J2553" s="15" t="s">
        <v>1892</v>
      </c>
      <c r="K2553" s="163" t="s">
        <v>46</v>
      </c>
      <c r="L2553" s="15">
        <v>3</v>
      </c>
      <c r="M2553" s="193">
        <v>34.799999999999997</v>
      </c>
      <c r="N2553" s="173" t="s">
        <v>571</v>
      </c>
    </row>
    <row r="2554" spans="1:14" x14ac:dyDescent="0.25">
      <c r="A2554" s="63" t="s">
        <v>570</v>
      </c>
      <c r="B2554" s="71" t="s">
        <v>740</v>
      </c>
      <c r="C2554" s="2">
        <v>4058075761674</v>
      </c>
      <c r="D2554" s="118"/>
      <c r="E2554" s="119"/>
      <c r="F2554" s="25"/>
      <c r="G2554" s="156" t="str">
        <f>HYPERLINK("https://ledvance.com/pt/product-datasheet/275559/212481","Ficha Técnica")</f>
        <v>Ficha Técnica</v>
      </c>
      <c r="H2554" s="15">
        <v>4</v>
      </c>
      <c r="I2554" s="163">
        <v>600</v>
      </c>
      <c r="J2554" s="15">
        <v>7</v>
      </c>
      <c r="K2554" s="163" t="s">
        <v>46</v>
      </c>
      <c r="L2554" s="15">
        <v>3</v>
      </c>
      <c r="M2554" s="193">
        <v>37.1</v>
      </c>
      <c r="N2554" s="173" t="s">
        <v>571</v>
      </c>
    </row>
    <row r="2555" spans="1:14" x14ac:dyDescent="0.25">
      <c r="A2555" s="63" t="s">
        <v>570</v>
      </c>
      <c r="B2555" s="71" t="s">
        <v>741</v>
      </c>
      <c r="C2555" s="2">
        <v>4058075761698</v>
      </c>
      <c r="D2555" s="118"/>
      <c r="E2555" s="119"/>
      <c r="F2555" s="25"/>
      <c r="G2555" s="156" t="str">
        <f>HYPERLINK("https://ledvance.com/pt/product-datasheet/275559/212484","Ficha Técnica")</f>
        <v>Ficha Técnica</v>
      </c>
      <c r="H2555" s="15">
        <v>4</v>
      </c>
      <c r="I2555" s="163">
        <v>400</v>
      </c>
      <c r="J2555" s="15" t="s">
        <v>1892</v>
      </c>
      <c r="K2555" s="163" t="s">
        <v>46</v>
      </c>
      <c r="L2555" s="15">
        <v>3</v>
      </c>
      <c r="M2555" s="193">
        <v>87.3</v>
      </c>
      <c r="N2555" s="173" t="s">
        <v>571</v>
      </c>
    </row>
    <row r="2556" spans="1:14" x14ac:dyDescent="0.25">
      <c r="A2556" s="66" t="s">
        <v>570</v>
      </c>
      <c r="B2556" s="69" t="s">
        <v>742</v>
      </c>
      <c r="C2556" s="52"/>
      <c r="D2556" s="65"/>
      <c r="E2556" s="92"/>
      <c r="F2556" s="12"/>
      <c r="G2556" s="157"/>
      <c r="H2556" s="12"/>
      <c r="I2556" s="62"/>
      <c r="J2556" s="27"/>
      <c r="K2556" s="62"/>
      <c r="L2556" s="12"/>
      <c r="M2556" s="191"/>
      <c r="N2556" s="130"/>
    </row>
    <row r="2557" spans="1:14" x14ac:dyDescent="0.25">
      <c r="A2557" s="63" t="s">
        <v>570</v>
      </c>
      <c r="B2557" s="71" t="s">
        <v>743</v>
      </c>
      <c r="C2557" s="2">
        <v>4099854091063</v>
      </c>
      <c r="D2557" s="93"/>
      <c r="E2557" s="61"/>
      <c r="F2557" s="25"/>
      <c r="G2557" s="156" t="str">
        <f>HYPERLINK("https://ledvance.com/pt/product-datasheet/275560/247060","Ficha Técnica")</f>
        <v>Ficha Técnica</v>
      </c>
      <c r="H2557" s="15">
        <v>4</v>
      </c>
      <c r="I2557" s="163">
        <v>470</v>
      </c>
      <c r="J2557" s="15" t="s">
        <v>1901</v>
      </c>
      <c r="K2557" s="163" t="s">
        <v>46</v>
      </c>
      <c r="L2557" s="15">
        <v>3</v>
      </c>
      <c r="M2557" s="193">
        <v>34.5</v>
      </c>
      <c r="N2557" s="173" t="s">
        <v>571</v>
      </c>
    </row>
    <row r="2558" spans="1:14" x14ac:dyDescent="0.25">
      <c r="A2558" s="63" t="s">
        <v>570</v>
      </c>
      <c r="B2558" s="71" t="s">
        <v>744</v>
      </c>
      <c r="C2558" s="2">
        <v>4099854091087</v>
      </c>
      <c r="D2558" s="93"/>
      <c r="E2558" s="61"/>
      <c r="F2558" s="25"/>
      <c r="G2558" s="156" t="str">
        <f>HYPERLINK("https://ledvance.com/pt/product-datasheet/275560/247063","Ficha Técnica")</f>
        <v>Ficha Técnica</v>
      </c>
      <c r="H2558" s="15">
        <v>4</v>
      </c>
      <c r="I2558" s="163">
        <v>806</v>
      </c>
      <c r="J2558" s="15" t="s">
        <v>1902</v>
      </c>
      <c r="K2558" s="163" t="s">
        <v>46</v>
      </c>
      <c r="L2558" s="15">
        <v>3</v>
      </c>
      <c r="M2558" s="193">
        <v>37.299999999999997</v>
      </c>
      <c r="N2558" s="173" t="s">
        <v>571</v>
      </c>
    </row>
    <row r="2559" spans="1:14" x14ac:dyDescent="0.25">
      <c r="A2559" s="63" t="s">
        <v>570</v>
      </c>
      <c r="B2559" s="71" t="s">
        <v>745</v>
      </c>
      <c r="C2559" s="2">
        <v>4099854090844</v>
      </c>
      <c r="D2559" s="93"/>
      <c r="E2559" s="61"/>
      <c r="F2559" s="25"/>
      <c r="G2559" s="156" t="str">
        <f>HYPERLINK("https://ledvance.com/pt/product-datasheet/275559/246974","Ficha Técnica")</f>
        <v>Ficha Técnica</v>
      </c>
      <c r="H2559" s="15">
        <v>4</v>
      </c>
      <c r="I2559" s="163">
        <v>470</v>
      </c>
      <c r="J2559" s="15" t="s">
        <v>1901</v>
      </c>
      <c r="K2559" s="163" t="s">
        <v>46</v>
      </c>
      <c r="L2559" s="15">
        <v>3</v>
      </c>
      <c r="M2559" s="193">
        <v>33.700000000000003</v>
      </c>
      <c r="N2559" s="173" t="s">
        <v>571</v>
      </c>
    </row>
    <row r="2560" spans="1:14" x14ac:dyDescent="0.25">
      <c r="A2560" s="63" t="s">
        <v>570</v>
      </c>
      <c r="B2560" s="71" t="s">
        <v>746</v>
      </c>
      <c r="C2560" s="2">
        <v>4099854090943</v>
      </c>
      <c r="D2560" s="93"/>
      <c r="E2560" s="61"/>
      <c r="F2560" s="25"/>
      <c r="G2560" s="156" t="str">
        <f>HYPERLINK("https://ledvance.com/pt/product-datasheet/275559/246977","Ficha Técnica")</f>
        <v>Ficha Técnica</v>
      </c>
      <c r="H2560" s="15">
        <v>4</v>
      </c>
      <c r="I2560" s="163">
        <v>806</v>
      </c>
      <c r="J2560" s="15" t="s">
        <v>1902</v>
      </c>
      <c r="K2560" s="163" t="s">
        <v>46</v>
      </c>
      <c r="L2560" s="15">
        <v>3</v>
      </c>
      <c r="M2560" s="193">
        <v>36.5</v>
      </c>
      <c r="N2560" s="173" t="s">
        <v>571</v>
      </c>
    </row>
    <row r="2561" spans="1:14" x14ac:dyDescent="0.25">
      <c r="A2561" s="63" t="s">
        <v>570</v>
      </c>
      <c r="B2561" s="71" t="s">
        <v>747</v>
      </c>
      <c r="C2561" s="2">
        <v>4058075761759</v>
      </c>
      <c r="D2561" s="93"/>
      <c r="E2561" s="61"/>
      <c r="F2561" s="25"/>
      <c r="G2561" s="156" t="str">
        <f>HYPERLINK("https://ledvance.com/pt/product-datasheet/275559/212495","Ficha Técnica")</f>
        <v>Ficha Técnica</v>
      </c>
      <c r="H2561" s="15">
        <v>4</v>
      </c>
      <c r="I2561" s="163">
        <v>470</v>
      </c>
      <c r="J2561" s="15" t="s">
        <v>1901</v>
      </c>
      <c r="K2561" s="163" t="s">
        <v>46</v>
      </c>
      <c r="L2561" s="15">
        <v>3</v>
      </c>
      <c r="M2561" s="193">
        <v>40.5</v>
      </c>
      <c r="N2561" s="173" t="s">
        <v>571</v>
      </c>
    </row>
    <row r="2562" spans="1:14" x14ac:dyDescent="0.25">
      <c r="A2562" s="63" t="s">
        <v>570</v>
      </c>
      <c r="B2562" s="71" t="s">
        <v>748</v>
      </c>
      <c r="C2562" s="2">
        <v>4058075761773</v>
      </c>
      <c r="D2562" s="93"/>
      <c r="E2562" s="61"/>
      <c r="F2562" s="25"/>
      <c r="G2562" s="156" t="str">
        <f>HYPERLINK("https://ledvance.com/pt/product-datasheet/275559/212498","Ficha Técnica")</f>
        <v>Ficha Técnica</v>
      </c>
      <c r="H2562" s="15">
        <v>4</v>
      </c>
      <c r="I2562" s="163">
        <v>806</v>
      </c>
      <c r="J2562" s="15" t="s">
        <v>1902</v>
      </c>
      <c r="K2562" s="163" t="s">
        <v>46</v>
      </c>
      <c r="L2562" s="15">
        <v>3</v>
      </c>
      <c r="M2562" s="193">
        <v>43.6</v>
      </c>
      <c r="N2562" s="173" t="s">
        <v>571</v>
      </c>
    </row>
    <row r="2563" spans="1:14" x14ac:dyDescent="0.25">
      <c r="A2563" s="63" t="s">
        <v>570</v>
      </c>
      <c r="B2563" s="71" t="s">
        <v>749</v>
      </c>
      <c r="C2563" s="2">
        <v>4058075761797</v>
      </c>
      <c r="D2563" s="93"/>
      <c r="E2563" s="61"/>
      <c r="F2563" s="25"/>
      <c r="G2563" s="156" t="str">
        <f>HYPERLINK("https://ledvance.com/pt/product-datasheet/275559/212501","Ficha Técnica")</f>
        <v>Ficha Técnica</v>
      </c>
      <c r="H2563" s="15">
        <v>4</v>
      </c>
      <c r="I2563" s="163">
        <v>470</v>
      </c>
      <c r="J2563" s="15" t="s">
        <v>1901</v>
      </c>
      <c r="K2563" s="163" t="s">
        <v>46</v>
      </c>
      <c r="L2563" s="15">
        <v>3</v>
      </c>
      <c r="M2563" s="193">
        <v>44.4</v>
      </c>
      <c r="N2563" s="173" t="s">
        <v>571</v>
      </c>
    </row>
    <row r="2564" spans="1:14" x14ac:dyDescent="0.25">
      <c r="A2564" s="63" t="s">
        <v>570</v>
      </c>
      <c r="B2564" s="71" t="s">
        <v>750</v>
      </c>
      <c r="C2564" s="2">
        <v>4058075761810</v>
      </c>
      <c r="D2564" s="93"/>
      <c r="E2564" s="61"/>
      <c r="F2564" s="25"/>
      <c r="G2564" s="156" t="str">
        <f>HYPERLINK("https://ledvance.com/pt/product-datasheet/275559/212509","Ficha Técnica")</f>
        <v>Ficha Técnica</v>
      </c>
      <c r="H2564" s="15">
        <v>4</v>
      </c>
      <c r="I2564" s="163">
        <v>806</v>
      </c>
      <c r="J2564" s="15" t="s">
        <v>1902</v>
      </c>
      <c r="K2564" s="163" t="s">
        <v>46</v>
      </c>
      <c r="L2564" s="15">
        <v>3</v>
      </c>
      <c r="M2564" s="193">
        <v>47.5</v>
      </c>
      <c r="N2564" s="173" t="s">
        <v>571</v>
      </c>
    </row>
    <row r="2565" spans="1:14" x14ac:dyDescent="0.25">
      <c r="A2565" s="66" t="s">
        <v>570</v>
      </c>
      <c r="B2565" s="69" t="s">
        <v>751</v>
      </c>
      <c r="C2565" s="52"/>
      <c r="D2565" s="65"/>
      <c r="E2565" s="92"/>
      <c r="F2565" s="12"/>
      <c r="G2565" s="157"/>
      <c r="H2565" s="12"/>
      <c r="I2565" s="62"/>
      <c r="J2565" s="27"/>
      <c r="K2565" s="62"/>
      <c r="L2565" s="12"/>
      <c r="M2565" s="191"/>
      <c r="N2565" s="130"/>
    </row>
    <row r="2566" spans="1:14" x14ac:dyDescent="0.25">
      <c r="A2566" s="63" t="s">
        <v>570</v>
      </c>
      <c r="B2566" s="71" t="s">
        <v>752</v>
      </c>
      <c r="C2566" s="2">
        <v>4058075761919</v>
      </c>
      <c r="D2566" s="93"/>
      <c r="E2566" s="61"/>
      <c r="F2566" s="25"/>
      <c r="G2566" s="156" t="str">
        <f>HYPERLINK("https://ledvance.com/pt/product-datasheet/275561/212526","Ficha Técnica")</f>
        <v>Ficha Técnica</v>
      </c>
      <c r="H2566" s="15">
        <v>4</v>
      </c>
      <c r="I2566" s="163">
        <v>400</v>
      </c>
      <c r="J2566" s="15" t="s">
        <v>1892</v>
      </c>
      <c r="K2566" s="163" t="s">
        <v>46</v>
      </c>
      <c r="L2566" s="15">
        <v>3</v>
      </c>
      <c r="M2566" s="193">
        <v>87.1</v>
      </c>
      <c r="N2566" s="173" t="s">
        <v>571</v>
      </c>
    </row>
    <row r="2567" spans="1:14" x14ac:dyDescent="0.25">
      <c r="A2567" s="63" t="s">
        <v>570</v>
      </c>
      <c r="B2567" s="71" t="s">
        <v>753</v>
      </c>
      <c r="C2567" s="2">
        <v>4058075761056</v>
      </c>
      <c r="D2567" s="93"/>
      <c r="E2567" s="61"/>
      <c r="F2567" s="25"/>
      <c r="G2567" s="156" t="str">
        <f>HYPERLINK("https://ledvance.com/pt/product-datasheet/275561/212543","Ficha Técnica")</f>
        <v>Ficha Técnica</v>
      </c>
      <c r="H2567" s="15">
        <v>4</v>
      </c>
      <c r="I2567" s="163">
        <v>100</v>
      </c>
      <c r="J2567" s="15" t="s">
        <v>1892</v>
      </c>
      <c r="K2567" s="163" t="s">
        <v>46</v>
      </c>
      <c r="L2567" s="15">
        <v>3</v>
      </c>
      <c r="M2567" s="193">
        <v>95.8</v>
      </c>
      <c r="N2567" s="173" t="s">
        <v>571</v>
      </c>
    </row>
    <row r="2568" spans="1:14" x14ac:dyDescent="0.25">
      <c r="A2568" s="63" t="s">
        <v>570</v>
      </c>
      <c r="B2568" s="71" t="s">
        <v>754</v>
      </c>
      <c r="C2568" s="2">
        <v>4058075761834</v>
      </c>
      <c r="D2568" s="93"/>
      <c r="E2568" s="61"/>
      <c r="F2568" s="25"/>
      <c r="G2568" s="156" t="str">
        <f>HYPERLINK("https://ledvance.com/pt/product-datasheet/275561/212518","Ficha Técnica")</f>
        <v>Ficha Técnica</v>
      </c>
      <c r="H2568" s="15">
        <v>4</v>
      </c>
      <c r="I2568" s="163">
        <v>360</v>
      </c>
      <c r="J2568" s="15" t="s">
        <v>1892</v>
      </c>
      <c r="K2568" s="163" t="s">
        <v>46</v>
      </c>
      <c r="L2568" s="15">
        <v>3</v>
      </c>
      <c r="M2568" s="193">
        <v>84.1</v>
      </c>
      <c r="N2568" s="173" t="s">
        <v>571</v>
      </c>
    </row>
    <row r="2569" spans="1:14" x14ac:dyDescent="0.25">
      <c r="A2569" s="63" t="s">
        <v>570</v>
      </c>
      <c r="B2569" s="71" t="s">
        <v>755</v>
      </c>
      <c r="C2569" s="2">
        <v>4099854091803</v>
      </c>
      <c r="D2569" s="93"/>
      <c r="E2569" s="61"/>
      <c r="F2569" s="25"/>
      <c r="G2569" s="156" t="str">
        <f>HYPERLINK("https://ledvance.com/pt/product-datasheet/275561/247066","Ficha Técnica")</f>
        <v>Ficha Técnica</v>
      </c>
      <c r="H2569" s="15">
        <v>4</v>
      </c>
      <c r="I2569" s="163">
        <v>470</v>
      </c>
      <c r="J2569" s="15" t="s">
        <v>1892</v>
      </c>
      <c r="K2569" s="163" t="s">
        <v>46</v>
      </c>
      <c r="L2569" s="15">
        <v>3</v>
      </c>
      <c r="M2569" s="193">
        <v>28.1</v>
      </c>
      <c r="N2569" s="173" t="s">
        <v>571</v>
      </c>
    </row>
    <row r="2570" spans="1:14" x14ac:dyDescent="0.25">
      <c r="A2570" s="63" t="s">
        <v>570</v>
      </c>
      <c r="B2570" s="71" t="s">
        <v>756</v>
      </c>
      <c r="C2570" s="2">
        <v>4058075760974</v>
      </c>
      <c r="D2570" s="93"/>
      <c r="E2570" s="61"/>
      <c r="F2570" s="25"/>
      <c r="G2570" s="156" t="str">
        <f>HYPERLINK("https://ledvance.com/pt/product-datasheet/275561/211997","Ficha Técnica")</f>
        <v>Ficha Técnica</v>
      </c>
      <c r="H2570" s="15">
        <v>4</v>
      </c>
      <c r="I2570" s="163">
        <v>150</v>
      </c>
      <c r="J2570" s="15" t="s">
        <v>1903</v>
      </c>
      <c r="K2570" s="163" t="s">
        <v>46</v>
      </c>
      <c r="L2570" s="15">
        <v>3</v>
      </c>
      <c r="M2570" s="193">
        <v>64.099999999999994</v>
      </c>
      <c r="N2570" s="173" t="s">
        <v>571</v>
      </c>
    </row>
    <row r="2571" spans="1:14" x14ac:dyDescent="0.25">
      <c r="A2571" s="63" t="s">
        <v>570</v>
      </c>
      <c r="B2571" s="71" t="s">
        <v>757</v>
      </c>
      <c r="C2571" s="2">
        <v>4058075761858</v>
      </c>
      <c r="D2571" s="93"/>
      <c r="E2571" s="61"/>
      <c r="F2571" s="25"/>
      <c r="G2571" s="156" t="str">
        <f>HYPERLINK("https://ledvance.com/pt/product-datasheet/275561/212000","Ficha Técnica")</f>
        <v>Ficha Técnica</v>
      </c>
      <c r="H2571" s="15">
        <v>4</v>
      </c>
      <c r="I2571" s="163">
        <v>180</v>
      </c>
      <c r="J2571" s="15" t="s">
        <v>1903</v>
      </c>
      <c r="K2571" s="163" t="s">
        <v>46</v>
      </c>
      <c r="L2571" s="15">
        <v>3</v>
      </c>
      <c r="M2571" s="193">
        <v>78.900000000000006</v>
      </c>
      <c r="N2571" s="173" t="s">
        <v>571</v>
      </c>
    </row>
    <row r="2572" spans="1:14" x14ac:dyDescent="0.25">
      <c r="A2572" s="63" t="s">
        <v>570</v>
      </c>
      <c r="B2572" s="71" t="s">
        <v>758</v>
      </c>
      <c r="C2572" s="2">
        <v>4058075761872</v>
      </c>
      <c r="D2572" s="93"/>
      <c r="E2572" s="61"/>
      <c r="F2572" s="25"/>
      <c r="G2572" s="156" t="str">
        <f>HYPERLINK("https://ledvance.com/pt/product-datasheet/275561/212003","Ficha Técnica")</f>
        <v>Ficha Técnica</v>
      </c>
      <c r="H2572" s="15">
        <v>4</v>
      </c>
      <c r="I2572" s="163">
        <v>100</v>
      </c>
      <c r="J2572" s="15" t="s">
        <v>1903</v>
      </c>
      <c r="K2572" s="163" t="s">
        <v>46</v>
      </c>
      <c r="L2572" s="15">
        <v>3</v>
      </c>
      <c r="M2572" s="193">
        <v>76.900000000000006</v>
      </c>
      <c r="N2572" s="173" t="s">
        <v>571</v>
      </c>
    </row>
    <row r="2573" spans="1:14" x14ac:dyDescent="0.25">
      <c r="A2573" s="63" t="s">
        <v>570</v>
      </c>
      <c r="B2573" s="71" t="s">
        <v>759</v>
      </c>
      <c r="C2573" s="2">
        <v>4058075761896</v>
      </c>
      <c r="D2573" s="93"/>
      <c r="E2573" s="61"/>
      <c r="F2573" s="25"/>
      <c r="G2573" s="156" t="str">
        <f>HYPERLINK("https://ledvance.com/pt/product-datasheet/275561/212006","Ficha Técnica")</f>
        <v>Ficha Técnica</v>
      </c>
      <c r="H2573" s="15">
        <v>4</v>
      </c>
      <c r="I2573" s="163">
        <v>220</v>
      </c>
      <c r="J2573" s="15" t="s">
        <v>1903</v>
      </c>
      <c r="K2573" s="163" t="s">
        <v>46</v>
      </c>
      <c r="L2573" s="15">
        <v>3</v>
      </c>
      <c r="M2573" s="193">
        <v>80.3</v>
      </c>
      <c r="N2573" s="173" t="s">
        <v>571</v>
      </c>
    </row>
    <row r="2574" spans="1:14" x14ac:dyDescent="0.25">
      <c r="A2574" s="63" t="s">
        <v>570</v>
      </c>
      <c r="B2574" s="71" t="s">
        <v>760</v>
      </c>
      <c r="C2574" s="2">
        <v>4058075760998</v>
      </c>
      <c r="D2574" s="93"/>
      <c r="E2574" s="61"/>
      <c r="F2574" s="25"/>
      <c r="G2574" s="156" t="str">
        <f>HYPERLINK("https://ledvance.com/pt/product-datasheet/275561/212009","Ficha Técnica")</f>
        <v>Ficha Técnica</v>
      </c>
      <c r="H2574" s="15">
        <v>4</v>
      </c>
      <c r="I2574" s="163">
        <v>150</v>
      </c>
      <c r="J2574" s="15" t="s">
        <v>1903</v>
      </c>
      <c r="K2574" s="163" t="s">
        <v>46</v>
      </c>
      <c r="L2574" s="15">
        <v>3</v>
      </c>
      <c r="M2574" s="193">
        <v>80.2</v>
      </c>
      <c r="N2574" s="173" t="s">
        <v>571</v>
      </c>
    </row>
    <row r="2575" spans="1:14" x14ac:dyDescent="0.25">
      <c r="A2575" s="63" t="s">
        <v>570</v>
      </c>
      <c r="B2575" s="71" t="s">
        <v>761</v>
      </c>
      <c r="C2575" s="2">
        <v>4058075761018</v>
      </c>
      <c r="D2575" s="93"/>
      <c r="E2575" s="61"/>
      <c r="F2575" s="25"/>
      <c r="G2575" s="156" t="str">
        <f>HYPERLINK("https://ledvance.com/pt/product-datasheet/275561/211994","Ficha Técnica")</f>
        <v>Ficha Técnica</v>
      </c>
      <c r="H2575" s="15">
        <v>4</v>
      </c>
      <c r="I2575" s="163">
        <v>140</v>
      </c>
      <c r="J2575" s="15">
        <v>4</v>
      </c>
      <c r="K2575" s="163" t="s">
        <v>46</v>
      </c>
      <c r="L2575" s="15">
        <v>3</v>
      </c>
      <c r="M2575" s="193">
        <v>86.3</v>
      </c>
      <c r="N2575" s="173" t="s">
        <v>571</v>
      </c>
    </row>
    <row r="2576" spans="1:14" x14ac:dyDescent="0.25">
      <c r="A2576" s="63" t="s">
        <v>570</v>
      </c>
      <c r="B2576" s="71" t="s">
        <v>762</v>
      </c>
      <c r="C2576" s="2">
        <v>4099854090325</v>
      </c>
      <c r="D2576" s="93"/>
      <c r="E2576" s="61"/>
      <c r="F2576" s="25"/>
      <c r="G2576" s="156" t="str">
        <f>HYPERLINK("https://ledvance.com/pt/product-datasheet/275561/246593","Ficha Técnica")</f>
        <v>Ficha Técnica</v>
      </c>
      <c r="H2576" s="15">
        <v>4</v>
      </c>
      <c r="I2576" s="163">
        <v>140</v>
      </c>
      <c r="J2576" s="15">
        <v>4</v>
      </c>
      <c r="K2576" s="163" t="s">
        <v>46</v>
      </c>
      <c r="L2576" s="15">
        <v>3</v>
      </c>
      <c r="M2576" s="193">
        <v>50.1</v>
      </c>
      <c r="N2576" s="173" t="s">
        <v>571</v>
      </c>
    </row>
    <row r="2577" spans="1:14" x14ac:dyDescent="0.25">
      <c r="A2577" s="66" t="s">
        <v>570</v>
      </c>
      <c r="B2577" s="69" t="s">
        <v>763</v>
      </c>
      <c r="C2577" s="52"/>
      <c r="D2577" s="65"/>
      <c r="E2577" s="92"/>
      <c r="F2577" s="12"/>
      <c r="G2577" s="157"/>
      <c r="H2577" s="12"/>
      <c r="I2577" s="62"/>
      <c r="J2577" s="27"/>
      <c r="K2577" s="62"/>
      <c r="L2577" s="12"/>
      <c r="M2577" s="191"/>
      <c r="N2577" s="130"/>
    </row>
    <row r="2578" spans="1:14" x14ac:dyDescent="0.25">
      <c r="A2578" s="63" t="s">
        <v>570</v>
      </c>
      <c r="B2578" s="71" t="s">
        <v>764</v>
      </c>
      <c r="C2578" s="2">
        <v>4058075760912</v>
      </c>
      <c r="D2578" s="93"/>
      <c r="E2578" s="61"/>
      <c r="F2578" s="25"/>
      <c r="G2578" s="156" t="str">
        <f>HYPERLINK("https://ledvance.com/pt/product-datasheet/275553/212534","Ficha Técnica")</f>
        <v>Ficha Técnica</v>
      </c>
      <c r="H2578" s="15">
        <v>6</v>
      </c>
      <c r="I2578" s="163">
        <v>100</v>
      </c>
      <c r="J2578" s="15" t="s">
        <v>1900</v>
      </c>
      <c r="K2578" s="163" t="s">
        <v>46</v>
      </c>
      <c r="L2578" s="15">
        <v>3</v>
      </c>
      <c r="M2578" s="193">
        <v>16.899999999999999</v>
      </c>
      <c r="N2578" s="173" t="s">
        <v>571</v>
      </c>
    </row>
    <row r="2579" spans="1:14" x14ac:dyDescent="0.25">
      <c r="A2579" s="63" t="s">
        <v>570</v>
      </c>
      <c r="B2579" s="71" t="s">
        <v>765</v>
      </c>
      <c r="C2579" s="2">
        <v>4099854091353</v>
      </c>
      <c r="D2579" s="93"/>
      <c r="E2579" s="61"/>
      <c r="F2579" s="25"/>
      <c r="G2579" s="156" t="str">
        <f>HYPERLINK("https://ledvance.com/pt/product-datasheet/275553/247028","Ficha Técnica")</f>
        <v>Ficha Técnica</v>
      </c>
      <c r="H2579" s="15">
        <v>4</v>
      </c>
      <c r="I2579" s="163">
        <v>100</v>
      </c>
      <c r="J2579" s="15" t="s">
        <v>1900</v>
      </c>
      <c r="K2579" s="163" t="s">
        <v>46</v>
      </c>
      <c r="L2579" s="15">
        <v>3</v>
      </c>
      <c r="M2579" s="193">
        <v>18.7</v>
      </c>
      <c r="N2579" s="173" t="s">
        <v>571</v>
      </c>
    </row>
    <row r="2580" spans="1:14" x14ac:dyDescent="0.25">
      <c r="A2580" s="63" t="s">
        <v>570</v>
      </c>
      <c r="B2580" s="71" t="s">
        <v>766</v>
      </c>
      <c r="C2580" s="2">
        <v>4058075760950</v>
      </c>
      <c r="D2580" s="93"/>
      <c r="E2580" s="61"/>
      <c r="F2580" s="25"/>
      <c r="G2580" s="156" t="str">
        <f>HYPERLINK("https://ledvance.com/pt/product-datasheet/275553/212540","Ficha Técnica")</f>
        <v>Ficha Técnica</v>
      </c>
      <c r="H2580" s="15">
        <v>4</v>
      </c>
      <c r="I2580" s="163">
        <v>100</v>
      </c>
      <c r="J2580" s="15" t="s">
        <v>1900</v>
      </c>
      <c r="K2580" s="163" t="s">
        <v>46</v>
      </c>
      <c r="L2580" s="15">
        <v>3</v>
      </c>
      <c r="M2580" s="193">
        <v>24.2</v>
      </c>
      <c r="N2580" s="173" t="s">
        <v>571</v>
      </c>
    </row>
    <row r="2581" spans="1:14" x14ac:dyDescent="0.25">
      <c r="A2581" s="66" t="s">
        <v>570</v>
      </c>
      <c r="B2581" s="69" t="s">
        <v>767</v>
      </c>
      <c r="C2581" s="52"/>
      <c r="D2581" s="65"/>
      <c r="E2581" s="92"/>
      <c r="F2581" s="12"/>
      <c r="G2581" s="157"/>
      <c r="H2581" s="12"/>
      <c r="I2581" s="62"/>
      <c r="J2581" s="27"/>
      <c r="K2581" s="62"/>
      <c r="L2581" s="12"/>
      <c r="M2581" s="191"/>
      <c r="N2581" s="130"/>
    </row>
    <row r="2582" spans="1:14" x14ac:dyDescent="0.25">
      <c r="A2582" s="63" t="s">
        <v>570</v>
      </c>
      <c r="B2582" s="71" t="s">
        <v>768</v>
      </c>
      <c r="C2582" s="2">
        <v>4058075293199</v>
      </c>
      <c r="D2582" s="93"/>
      <c r="E2582" s="61"/>
      <c r="F2582" s="25"/>
      <c r="G2582" s="156" t="str">
        <f>HYPERLINK("https://ledvance.com/pt/product-datasheet/275113/92253","Ficha Técnica")</f>
        <v>Ficha Técnica</v>
      </c>
      <c r="H2582" s="15">
        <v>10</v>
      </c>
      <c r="I2582" s="163">
        <v>220</v>
      </c>
      <c r="J2582" s="15" t="s">
        <v>1895</v>
      </c>
      <c r="K2582" s="163" t="s">
        <v>46</v>
      </c>
      <c r="L2582" s="15">
        <v>3</v>
      </c>
      <c r="M2582" s="193">
        <v>6</v>
      </c>
      <c r="N2582" s="173" t="s">
        <v>571</v>
      </c>
    </row>
    <row r="2583" spans="1:14" x14ac:dyDescent="0.25">
      <c r="A2583" s="63" t="s">
        <v>570</v>
      </c>
      <c r="B2583" s="71" t="s">
        <v>769</v>
      </c>
      <c r="C2583" s="2">
        <v>4058075293090</v>
      </c>
      <c r="D2583" s="93"/>
      <c r="E2583" s="61"/>
      <c r="F2583" s="25"/>
      <c r="G2583" s="156" t="str">
        <f>HYPERLINK("https://ledvance.com/pt/product-datasheet/275113/59527","Ficha Técnica")</f>
        <v>Ficha Técnica</v>
      </c>
      <c r="H2583" s="15">
        <v>10</v>
      </c>
      <c r="I2583" s="163">
        <v>410</v>
      </c>
      <c r="J2583" s="15">
        <v>4</v>
      </c>
      <c r="K2583" s="163" t="s">
        <v>46</v>
      </c>
      <c r="L2583" s="15">
        <v>3</v>
      </c>
      <c r="M2583" s="193">
        <v>7.1</v>
      </c>
      <c r="N2583" s="173" t="s">
        <v>571</v>
      </c>
    </row>
    <row r="2584" spans="1:14" x14ac:dyDescent="0.25">
      <c r="A2584" s="63" t="s">
        <v>570</v>
      </c>
      <c r="B2584" s="71" t="s">
        <v>770</v>
      </c>
      <c r="C2584" s="2">
        <v>4058075293298</v>
      </c>
      <c r="D2584" s="93"/>
      <c r="E2584" s="61"/>
      <c r="F2584" s="25"/>
      <c r="G2584" s="156" t="str">
        <f>HYPERLINK("https://ledvance.com/pt/product-datasheet/275113/70933","Ficha Técnica")</f>
        <v>Ficha Técnica</v>
      </c>
      <c r="H2584" s="15">
        <v>10</v>
      </c>
      <c r="I2584" s="163">
        <v>650</v>
      </c>
      <c r="J2584" s="15" t="s">
        <v>1893</v>
      </c>
      <c r="K2584" s="163" t="s">
        <v>46</v>
      </c>
      <c r="L2584" s="15">
        <v>3</v>
      </c>
      <c r="M2584" s="193">
        <v>8.8000000000000007</v>
      </c>
      <c r="N2584" s="173" t="s">
        <v>571</v>
      </c>
    </row>
    <row r="2585" spans="1:14" x14ac:dyDescent="0.25">
      <c r="A2585" s="63" t="s">
        <v>570</v>
      </c>
      <c r="B2585" s="71" t="s">
        <v>771</v>
      </c>
      <c r="C2585" s="2">
        <v>4058075293359</v>
      </c>
      <c r="D2585" s="93"/>
      <c r="E2585" s="61"/>
      <c r="F2585" s="25"/>
      <c r="G2585" s="156" t="str">
        <f>HYPERLINK("https://ledvance.com/pt/product-datasheet/275113/40664","Ficha Técnica")</f>
        <v>Ficha Técnica</v>
      </c>
      <c r="H2585" s="15">
        <v>10</v>
      </c>
      <c r="I2585" s="163">
        <v>950</v>
      </c>
      <c r="J2585" s="15" t="s">
        <v>1854</v>
      </c>
      <c r="K2585" s="163" t="s">
        <v>46</v>
      </c>
      <c r="L2585" s="15">
        <v>3</v>
      </c>
      <c r="M2585" s="193">
        <v>11.7</v>
      </c>
      <c r="N2585" s="173" t="s">
        <v>571</v>
      </c>
    </row>
    <row r="2586" spans="1:14" x14ac:dyDescent="0.25">
      <c r="A2586" s="63" t="s">
        <v>570</v>
      </c>
      <c r="B2586" s="71" t="s">
        <v>772</v>
      </c>
      <c r="C2586" s="2">
        <v>4099854091599</v>
      </c>
      <c r="D2586" s="93"/>
      <c r="E2586" s="61"/>
      <c r="F2586" s="25"/>
      <c r="G2586" s="156" t="str">
        <f>HYPERLINK("https://ledvance.com/pt/product-datasheet/275543/246958","Ficha Técnica")</f>
        <v>Ficha Técnica</v>
      </c>
      <c r="H2586" s="15">
        <v>6</v>
      </c>
      <c r="I2586" s="163">
        <v>120</v>
      </c>
      <c r="J2586" s="15" t="s">
        <v>1897</v>
      </c>
      <c r="K2586" s="163" t="s">
        <v>46</v>
      </c>
      <c r="L2586" s="15">
        <v>3</v>
      </c>
      <c r="M2586" s="193">
        <v>4.8</v>
      </c>
      <c r="N2586" s="173" t="s">
        <v>571</v>
      </c>
    </row>
    <row r="2587" spans="1:14" x14ac:dyDescent="0.25">
      <c r="A2587" s="63" t="s">
        <v>570</v>
      </c>
      <c r="B2587" s="71" t="s">
        <v>773</v>
      </c>
      <c r="C2587" s="2">
        <v>4099854091575</v>
      </c>
      <c r="D2587" s="93"/>
      <c r="E2587" s="61"/>
      <c r="F2587" s="25"/>
      <c r="G2587" s="156" t="str">
        <f>HYPERLINK("https://ledvance.com/pt/product-datasheet/275543/246955","Ficha Técnica")</f>
        <v>Ficha Técnica</v>
      </c>
      <c r="H2587" s="15">
        <v>6</v>
      </c>
      <c r="I2587" s="163">
        <v>220</v>
      </c>
      <c r="J2587" s="15" t="s">
        <v>1895</v>
      </c>
      <c r="K2587" s="163" t="s">
        <v>46</v>
      </c>
      <c r="L2587" s="15">
        <v>3</v>
      </c>
      <c r="M2587" s="193">
        <v>5</v>
      </c>
      <c r="N2587" s="173" t="s">
        <v>571</v>
      </c>
    </row>
    <row r="2588" spans="1:14" x14ac:dyDescent="0.25">
      <c r="A2588" s="63" t="s">
        <v>570</v>
      </c>
      <c r="B2588" s="71" t="s">
        <v>774</v>
      </c>
      <c r="C2588" s="2">
        <v>4099854091476</v>
      </c>
      <c r="D2588" s="93"/>
      <c r="E2588" s="61"/>
      <c r="F2588" s="25"/>
      <c r="G2588" s="156" t="str">
        <f>HYPERLINK("https://ledvance.com/pt/product-datasheet/275543/246967","Ficha Técnica")</f>
        <v>Ficha Técnica</v>
      </c>
      <c r="H2588" s="15">
        <v>6</v>
      </c>
      <c r="I2588" s="163">
        <v>410</v>
      </c>
      <c r="J2588" s="15">
        <v>4</v>
      </c>
      <c r="K2588" s="163" t="s">
        <v>46</v>
      </c>
      <c r="L2588" s="15">
        <v>3</v>
      </c>
      <c r="M2588" s="193">
        <v>5.6</v>
      </c>
      <c r="N2588" s="173" t="s">
        <v>571</v>
      </c>
    </row>
    <row r="2589" spans="1:14" x14ac:dyDescent="0.25">
      <c r="A2589" s="63" t="s">
        <v>570</v>
      </c>
      <c r="B2589" s="71" t="s">
        <v>775</v>
      </c>
      <c r="C2589" s="2">
        <v>4099854091551</v>
      </c>
      <c r="D2589" s="93"/>
      <c r="E2589" s="61"/>
      <c r="F2589" s="25"/>
      <c r="G2589" s="156" t="str">
        <f>HYPERLINK("https://ledvance.com/pt/product-datasheet/275543/246952","Ficha Técnica")</f>
        <v>Ficha Técnica</v>
      </c>
      <c r="H2589" s="15">
        <v>10</v>
      </c>
      <c r="I2589" s="163">
        <v>120</v>
      </c>
      <c r="J2589" s="15" t="s">
        <v>1897</v>
      </c>
      <c r="K2589" s="163" t="s">
        <v>46</v>
      </c>
      <c r="L2589" s="15">
        <v>3</v>
      </c>
      <c r="M2589" s="193">
        <v>6</v>
      </c>
      <c r="N2589" s="173" t="s">
        <v>571</v>
      </c>
    </row>
    <row r="2590" spans="1:14" x14ac:dyDescent="0.25">
      <c r="A2590" s="63" t="s">
        <v>570</v>
      </c>
      <c r="B2590" s="71" t="s">
        <v>776</v>
      </c>
      <c r="C2590" s="2">
        <v>4099854091537</v>
      </c>
      <c r="D2590" s="93"/>
      <c r="E2590" s="61"/>
      <c r="F2590" s="25"/>
      <c r="G2590" s="156" t="str">
        <f>HYPERLINK("https://ledvance.com/pt/product-datasheet/275543/246949","Ficha Técnica")</f>
        <v>Ficha Técnica</v>
      </c>
      <c r="H2590" s="15">
        <v>10</v>
      </c>
      <c r="I2590" s="163">
        <v>220</v>
      </c>
      <c r="J2590" s="15" t="s">
        <v>1895</v>
      </c>
      <c r="K2590" s="163" t="s">
        <v>46</v>
      </c>
      <c r="L2590" s="15">
        <v>3</v>
      </c>
      <c r="M2590" s="193">
        <v>6.2</v>
      </c>
      <c r="N2590" s="173" t="s">
        <v>571</v>
      </c>
    </row>
    <row r="2591" spans="1:14" x14ac:dyDescent="0.25">
      <c r="A2591" s="63" t="s">
        <v>570</v>
      </c>
      <c r="B2591" s="71" t="s">
        <v>3851</v>
      </c>
      <c r="C2591" s="2">
        <v>4099854091513</v>
      </c>
      <c r="D2591" s="93"/>
      <c r="E2591" s="61"/>
      <c r="F2591" s="25"/>
      <c r="G2591" s="156" t="str">
        <f>HYPERLINK("https://ledvance.com/pt/product-datasheet/275543/246946","Ficha Técnica")</f>
        <v>Ficha Técnica</v>
      </c>
      <c r="H2591" s="15">
        <v>6</v>
      </c>
      <c r="I2591" s="163">
        <v>120</v>
      </c>
      <c r="J2591" s="15" t="s">
        <v>1897</v>
      </c>
      <c r="K2591" s="163" t="s">
        <v>46</v>
      </c>
      <c r="L2591" s="15">
        <v>3</v>
      </c>
      <c r="M2591" s="193">
        <v>6</v>
      </c>
      <c r="N2591" s="173" t="s">
        <v>571</v>
      </c>
    </row>
    <row r="2592" spans="1:14" x14ac:dyDescent="0.25">
      <c r="A2592" s="63" t="s">
        <v>570</v>
      </c>
      <c r="B2592" s="71" t="s">
        <v>3852</v>
      </c>
      <c r="C2592" s="2">
        <v>4099854091490</v>
      </c>
      <c r="D2592" s="93"/>
      <c r="E2592" s="61"/>
      <c r="F2592" s="25"/>
      <c r="G2592" s="156" t="str">
        <f>HYPERLINK("https://ledvance.com/pt/product-datasheet/275543/246943","Ficha Técnica")</f>
        <v>Ficha Técnica</v>
      </c>
      <c r="H2592" s="15">
        <v>6</v>
      </c>
      <c r="I2592" s="163">
        <v>220</v>
      </c>
      <c r="J2592" s="15" t="s">
        <v>1895</v>
      </c>
      <c r="K2592" s="163" t="s">
        <v>46</v>
      </c>
      <c r="L2592" s="15">
        <v>3</v>
      </c>
      <c r="M2592" s="193">
        <v>5</v>
      </c>
      <c r="N2592" s="173" t="s">
        <v>571</v>
      </c>
    </row>
    <row r="2593" spans="1:14" x14ac:dyDescent="0.25">
      <c r="A2593" s="66" t="s">
        <v>570</v>
      </c>
      <c r="B2593" s="69" t="s">
        <v>777</v>
      </c>
      <c r="C2593" s="52"/>
      <c r="D2593" s="65"/>
      <c r="E2593" s="92"/>
      <c r="F2593" s="12"/>
      <c r="G2593" s="157"/>
      <c r="H2593" s="12"/>
      <c r="I2593" s="62"/>
      <c r="J2593" s="27"/>
      <c r="K2593" s="62"/>
      <c r="L2593" s="12"/>
      <c r="M2593" s="191"/>
      <c r="N2593" s="130"/>
    </row>
    <row r="2594" spans="1:14" x14ac:dyDescent="0.25">
      <c r="A2594" s="63" t="s">
        <v>570</v>
      </c>
      <c r="B2594" s="71" t="s">
        <v>778</v>
      </c>
      <c r="C2594" s="2">
        <v>4058075290815</v>
      </c>
      <c r="D2594" s="93"/>
      <c r="E2594" s="61"/>
      <c r="F2594" s="25"/>
      <c r="G2594" s="156" t="str">
        <f>HYPERLINK("https://ledvance.com/pt/product-datasheet/275546/92297","Ficha Técnica")</f>
        <v>Ficha Técnica</v>
      </c>
      <c r="H2594" s="15">
        <v>10</v>
      </c>
      <c r="I2594" s="163">
        <v>220</v>
      </c>
      <c r="J2594" s="15" t="s">
        <v>1895</v>
      </c>
      <c r="K2594" s="163" t="s">
        <v>46</v>
      </c>
      <c r="L2594" s="15">
        <v>3</v>
      </c>
      <c r="M2594" s="193">
        <v>6.8</v>
      </c>
      <c r="N2594" s="173" t="s">
        <v>571</v>
      </c>
    </row>
    <row r="2595" spans="1:14" x14ac:dyDescent="0.25">
      <c r="A2595" s="63" t="s">
        <v>570</v>
      </c>
      <c r="B2595" s="71" t="s">
        <v>779</v>
      </c>
      <c r="C2595" s="2">
        <v>4058075293496</v>
      </c>
      <c r="D2595" s="93"/>
      <c r="E2595" s="61"/>
      <c r="F2595" s="25"/>
      <c r="G2595" s="156" t="str">
        <f>HYPERLINK("https://ledvance.com/pt/product-datasheet/275546/66480","Ficha Técnica")</f>
        <v>Ficha Técnica</v>
      </c>
      <c r="H2595" s="15">
        <v>10</v>
      </c>
      <c r="I2595" s="163">
        <v>410</v>
      </c>
      <c r="J2595" s="15">
        <v>4</v>
      </c>
      <c r="K2595" s="163" t="s">
        <v>46</v>
      </c>
      <c r="L2595" s="15">
        <v>3</v>
      </c>
      <c r="M2595" s="193">
        <v>8.1</v>
      </c>
      <c r="N2595" s="173" t="s">
        <v>571</v>
      </c>
    </row>
    <row r="2596" spans="1:14" x14ac:dyDescent="0.25">
      <c r="A2596" s="63" t="s">
        <v>570</v>
      </c>
      <c r="B2596" s="71" t="s">
        <v>780</v>
      </c>
      <c r="C2596" s="2">
        <v>4099854091339</v>
      </c>
      <c r="D2596" s="93"/>
      <c r="E2596" s="61"/>
      <c r="F2596" s="25"/>
      <c r="G2596" s="156" t="str">
        <f>HYPERLINK("https://ledvance.com/pt/product-datasheet/275550/246909","Ficha Técnica")</f>
        <v>Ficha Técnica</v>
      </c>
      <c r="H2596" s="15">
        <v>4</v>
      </c>
      <c r="I2596" s="163">
        <v>220</v>
      </c>
      <c r="J2596" s="15" t="s">
        <v>1895</v>
      </c>
      <c r="K2596" s="163" t="s">
        <v>46</v>
      </c>
      <c r="L2596" s="15">
        <v>3</v>
      </c>
      <c r="M2596" s="193">
        <v>9.1</v>
      </c>
      <c r="N2596" s="173" t="s">
        <v>571</v>
      </c>
    </row>
    <row r="2597" spans="1:14" x14ac:dyDescent="0.25">
      <c r="A2597" s="63" t="s">
        <v>570</v>
      </c>
      <c r="B2597" s="71" t="s">
        <v>781</v>
      </c>
      <c r="C2597" s="2">
        <v>4099854091377</v>
      </c>
      <c r="D2597" s="93"/>
      <c r="E2597" s="61"/>
      <c r="F2597" s="25"/>
      <c r="G2597" s="156" t="str">
        <f>HYPERLINK("https://ledvance.com/pt/product-datasheet/275550/246962","Ficha Técnica")</f>
        <v>Ficha Técnica</v>
      </c>
      <c r="H2597" s="15">
        <v>4</v>
      </c>
      <c r="I2597" s="163">
        <v>410</v>
      </c>
      <c r="J2597" s="15">
        <v>4</v>
      </c>
      <c r="K2597" s="163" t="s">
        <v>46</v>
      </c>
      <c r="L2597" s="15">
        <v>3</v>
      </c>
      <c r="M2597" s="193">
        <v>9.4</v>
      </c>
      <c r="N2597" s="173" t="s">
        <v>571</v>
      </c>
    </row>
    <row r="2598" spans="1:14" x14ac:dyDescent="0.25">
      <c r="A2598" s="63" t="s">
        <v>570</v>
      </c>
      <c r="B2598" s="71" t="s">
        <v>782</v>
      </c>
      <c r="C2598" s="2">
        <v>4058075808980</v>
      </c>
      <c r="D2598" s="93"/>
      <c r="E2598" s="61"/>
      <c r="F2598" s="25"/>
      <c r="G2598" s="156" t="str">
        <f>HYPERLINK("https://ledvance.com/pt/product-datasheet/275548/70140","Ficha Técnica")</f>
        <v>Ficha Técnica</v>
      </c>
      <c r="H2598" s="15">
        <v>4</v>
      </c>
      <c r="I2598" s="163">
        <v>220</v>
      </c>
      <c r="J2598" s="15" t="s">
        <v>1895</v>
      </c>
      <c r="K2598" s="163" t="s">
        <v>46</v>
      </c>
      <c r="L2598" s="15">
        <v>3</v>
      </c>
      <c r="M2598" s="193">
        <v>11.1</v>
      </c>
      <c r="N2598" s="173" t="s">
        <v>571</v>
      </c>
    </row>
    <row r="2599" spans="1:14" x14ac:dyDescent="0.25">
      <c r="A2599" s="63" t="s">
        <v>570</v>
      </c>
      <c r="B2599" s="71" t="s">
        <v>783</v>
      </c>
      <c r="C2599" s="2">
        <v>4099854091179</v>
      </c>
      <c r="D2599" s="93"/>
      <c r="E2599" s="61"/>
      <c r="F2599" s="25"/>
      <c r="G2599" s="156" t="str">
        <f>HYPERLINK("https://ledvance.com/pt/product-datasheet/275548/246938","Ficha Técnica")</f>
        <v>Ficha Técnica</v>
      </c>
      <c r="H2599" s="15">
        <v>4</v>
      </c>
      <c r="I2599" s="163">
        <v>410</v>
      </c>
      <c r="J2599" s="15">
        <v>4</v>
      </c>
      <c r="K2599" s="163" t="s">
        <v>46</v>
      </c>
      <c r="L2599" s="15">
        <v>3</v>
      </c>
      <c r="M2599" s="193">
        <v>11.6</v>
      </c>
      <c r="N2599" s="173" t="s">
        <v>571</v>
      </c>
    </row>
    <row r="2600" spans="1:14" x14ac:dyDescent="0.25">
      <c r="A2600" s="63" t="s">
        <v>570</v>
      </c>
      <c r="B2600" s="71" t="s">
        <v>784</v>
      </c>
      <c r="C2600" s="2">
        <v>4058075809406</v>
      </c>
      <c r="D2600" s="93"/>
      <c r="E2600" s="61"/>
      <c r="F2600" s="25"/>
      <c r="G2600" s="156" t="str">
        <f>HYPERLINK("https://ledvance.com/pt/product-datasheet/275548/32819","Ficha Técnica")</f>
        <v>Ficha Técnica</v>
      </c>
      <c r="H2600" s="15">
        <v>4</v>
      </c>
      <c r="I2600" s="163">
        <v>720</v>
      </c>
      <c r="J2600" s="15" t="s">
        <v>1893</v>
      </c>
      <c r="K2600" s="163" t="s">
        <v>46</v>
      </c>
      <c r="L2600" s="15">
        <v>3</v>
      </c>
      <c r="M2600" s="193">
        <v>16.600000000000001</v>
      </c>
      <c r="N2600" s="173" t="s">
        <v>571</v>
      </c>
    </row>
    <row r="2601" spans="1:14" x14ac:dyDescent="0.25">
      <c r="A2601" s="66" t="s">
        <v>570</v>
      </c>
      <c r="B2601" s="69" t="s">
        <v>785</v>
      </c>
      <c r="C2601" s="52"/>
      <c r="D2601" s="65"/>
      <c r="E2601" s="92"/>
      <c r="F2601" s="12"/>
      <c r="G2601" s="157"/>
      <c r="H2601" s="12"/>
      <c r="I2601" s="62"/>
      <c r="J2601" s="27"/>
      <c r="K2601" s="62"/>
      <c r="L2601" s="12"/>
      <c r="M2601" s="191"/>
      <c r="N2601" s="130"/>
    </row>
    <row r="2602" spans="1:14" x14ac:dyDescent="0.25">
      <c r="A2602" s="63" t="s">
        <v>570</v>
      </c>
      <c r="B2602" s="71" t="s">
        <v>786</v>
      </c>
      <c r="C2602" s="2">
        <v>4099854091858</v>
      </c>
      <c r="D2602" s="93"/>
      <c r="E2602" s="61"/>
      <c r="F2602" s="25"/>
      <c r="G2602" s="156" t="str">
        <f>HYPERLINK("https://ledvance.com/pt/product-datasheet/275551/246901","Ficha Técnica")</f>
        <v>Ficha Técnica</v>
      </c>
      <c r="H2602" s="15">
        <v>4</v>
      </c>
      <c r="I2602" s="163">
        <v>200</v>
      </c>
      <c r="J2602" s="15" t="s">
        <v>1895</v>
      </c>
      <c r="K2602" s="163" t="s">
        <v>46</v>
      </c>
      <c r="L2602" s="15">
        <v>3</v>
      </c>
      <c r="M2602" s="193">
        <v>10.1</v>
      </c>
      <c r="N2602" s="173" t="s">
        <v>571</v>
      </c>
    </row>
    <row r="2603" spans="1:14" x14ac:dyDescent="0.25">
      <c r="A2603" s="63" t="s">
        <v>570</v>
      </c>
      <c r="B2603" s="71" t="s">
        <v>787</v>
      </c>
      <c r="C2603" s="2">
        <v>4099854091889</v>
      </c>
      <c r="D2603" s="93"/>
      <c r="E2603" s="61"/>
      <c r="F2603" s="25"/>
      <c r="G2603" s="156" t="str">
        <f>HYPERLINK("https://ledvance.com/pt/product-datasheet/275551/246897","Ficha Técnica")</f>
        <v>Ficha Técnica</v>
      </c>
      <c r="H2603" s="15">
        <v>4</v>
      </c>
      <c r="I2603" s="163">
        <v>400</v>
      </c>
      <c r="J2603" s="15">
        <v>4</v>
      </c>
      <c r="K2603" s="163" t="s">
        <v>46</v>
      </c>
      <c r="L2603" s="15">
        <v>3</v>
      </c>
      <c r="M2603" s="193">
        <v>11.4</v>
      </c>
      <c r="N2603" s="173" t="s">
        <v>571</v>
      </c>
    </row>
    <row r="2604" spans="1:14" x14ac:dyDescent="0.25">
      <c r="A2604" s="63" t="s">
        <v>570</v>
      </c>
      <c r="B2604" s="71" t="s">
        <v>788</v>
      </c>
      <c r="C2604" s="2">
        <v>4099854091117</v>
      </c>
      <c r="D2604" s="93"/>
      <c r="E2604" s="61"/>
      <c r="F2604" s="25"/>
      <c r="G2604" s="156" t="str">
        <f>HYPERLINK("https://ledvance.com/pt/product-datasheet/275551/246905","Ficha Técnica")</f>
        <v>Ficha Técnica</v>
      </c>
      <c r="H2604" s="15">
        <v>4</v>
      </c>
      <c r="I2604" s="163">
        <v>470</v>
      </c>
      <c r="J2604" s="15">
        <v>4</v>
      </c>
      <c r="K2604" s="163" t="s">
        <v>46</v>
      </c>
      <c r="L2604" s="15">
        <v>3</v>
      </c>
      <c r="M2604" s="193">
        <v>16.399999999999999</v>
      </c>
      <c r="N2604" s="173" t="s">
        <v>571</v>
      </c>
    </row>
    <row r="2605" spans="1:14" x14ac:dyDescent="0.25">
      <c r="A2605" s="66" t="s">
        <v>570</v>
      </c>
      <c r="B2605" s="69" t="s">
        <v>789</v>
      </c>
      <c r="C2605" s="52"/>
      <c r="D2605" s="65"/>
      <c r="E2605" s="92"/>
      <c r="F2605" s="12"/>
      <c r="G2605" s="157"/>
      <c r="H2605" s="12"/>
      <c r="I2605" s="62"/>
      <c r="J2605" s="27"/>
      <c r="K2605" s="62"/>
      <c r="L2605" s="12"/>
      <c r="M2605" s="191"/>
      <c r="N2605" s="130"/>
    </row>
    <row r="2606" spans="1:14" x14ac:dyDescent="0.25">
      <c r="A2606" s="63" t="s">
        <v>570</v>
      </c>
      <c r="B2606" s="71" t="s">
        <v>790</v>
      </c>
      <c r="C2606" s="2">
        <v>4058075092037</v>
      </c>
      <c r="D2606" s="93"/>
      <c r="E2606" s="61"/>
      <c r="F2606" s="25"/>
      <c r="G2606" s="156" t="str">
        <f>HYPERLINK("https://ledvance.com/pt/product-datasheet/275551/59564","Ficha Técnica")</f>
        <v>Ficha Técnica</v>
      </c>
      <c r="H2606" s="15">
        <v>4</v>
      </c>
      <c r="I2606" s="163">
        <v>470</v>
      </c>
      <c r="J2606" s="15">
        <v>4</v>
      </c>
      <c r="K2606" s="163" t="s">
        <v>46</v>
      </c>
      <c r="L2606" s="15">
        <v>3</v>
      </c>
      <c r="M2606" s="193">
        <v>23.1</v>
      </c>
      <c r="N2606" s="173" t="s">
        <v>571</v>
      </c>
    </row>
    <row r="2607" spans="1:14" x14ac:dyDescent="0.25">
      <c r="A2607" s="63" t="s">
        <v>570</v>
      </c>
      <c r="B2607" s="71" t="s">
        <v>791</v>
      </c>
      <c r="C2607" s="2">
        <v>4058075091955</v>
      </c>
      <c r="D2607" s="93"/>
      <c r="E2607" s="61"/>
      <c r="F2607" s="25"/>
      <c r="G2607" s="156" t="str">
        <f>HYPERLINK("https://ledvance.com/pt/product-datasheet/275551/77109","Ficha Técnica")</f>
        <v>Ficha Técnica</v>
      </c>
      <c r="H2607" s="15">
        <v>4</v>
      </c>
      <c r="I2607" s="163">
        <v>470</v>
      </c>
      <c r="J2607" s="15">
        <v>4</v>
      </c>
      <c r="K2607" s="163" t="s">
        <v>46</v>
      </c>
      <c r="L2607" s="15">
        <v>3</v>
      </c>
      <c r="M2607" s="193">
        <v>23.1</v>
      </c>
      <c r="N2607" s="173" t="s">
        <v>571</v>
      </c>
    </row>
    <row r="2608" spans="1:14" x14ac:dyDescent="0.25">
      <c r="A2608" s="66" t="s">
        <v>570</v>
      </c>
      <c r="B2608" s="69" t="s">
        <v>792</v>
      </c>
      <c r="C2608" s="52"/>
      <c r="D2608" s="65"/>
      <c r="E2608" s="92"/>
      <c r="F2608" s="12"/>
      <c r="G2608" s="157"/>
      <c r="H2608" s="12"/>
      <c r="I2608" s="62"/>
      <c r="J2608" s="27"/>
      <c r="K2608" s="62"/>
      <c r="L2608" s="12"/>
      <c r="M2608" s="191"/>
      <c r="N2608" s="130"/>
    </row>
    <row r="2609" spans="1:14" x14ac:dyDescent="0.25">
      <c r="A2609" s="63" t="s">
        <v>570</v>
      </c>
      <c r="B2609" s="71" t="s">
        <v>793</v>
      </c>
      <c r="C2609" s="2">
        <v>4099854091292</v>
      </c>
      <c r="D2609" s="93"/>
      <c r="E2609" s="61"/>
      <c r="F2609" s="25"/>
      <c r="G2609" s="156" t="str">
        <f>HYPERLINK("https://ledvance.com/pt/product-datasheet/275550/246933","Ficha Técnica")</f>
        <v>Ficha Técnica</v>
      </c>
      <c r="H2609" s="15">
        <v>4</v>
      </c>
      <c r="I2609" s="163">
        <v>300</v>
      </c>
      <c r="J2609" s="15">
        <v>4</v>
      </c>
      <c r="K2609" s="163" t="s">
        <v>46</v>
      </c>
      <c r="L2609" s="15">
        <v>3</v>
      </c>
      <c r="M2609" s="193">
        <v>12.1</v>
      </c>
      <c r="N2609" s="173" t="s">
        <v>571</v>
      </c>
    </row>
    <row r="2610" spans="1:14" x14ac:dyDescent="0.25">
      <c r="A2610" s="63" t="s">
        <v>570</v>
      </c>
      <c r="B2610" s="71" t="s">
        <v>794</v>
      </c>
      <c r="C2610" s="2">
        <v>4058075092136</v>
      </c>
      <c r="D2610" s="93"/>
      <c r="E2610" s="61"/>
      <c r="F2610" s="25"/>
      <c r="G2610" s="156" t="str">
        <f>HYPERLINK("https://ledvance.com/pt/product-datasheet/275548/59560","Ficha Técnica")</f>
        <v>Ficha Técnica</v>
      </c>
      <c r="H2610" s="15">
        <v>4</v>
      </c>
      <c r="I2610" s="163">
        <v>300</v>
      </c>
      <c r="J2610" s="15">
        <v>4</v>
      </c>
      <c r="K2610" s="163" t="s">
        <v>46</v>
      </c>
      <c r="L2610" s="15">
        <v>3</v>
      </c>
      <c r="M2610" s="193">
        <v>16.600000000000001</v>
      </c>
      <c r="N2610" s="173" t="s">
        <v>571</v>
      </c>
    </row>
    <row r="2611" spans="1:14" x14ac:dyDescent="0.25">
      <c r="A2611" s="63" t="s">
        <v>570</v>
      </c>
      <c r="B2611" s="71" t="s">
        <v>795</v>
      </c>
      <c r="C2611" s="2">
        <v>4058075091993</v>
      </c>
      <c r="D2611" s="93"/>
      <c r="E2611" s="61"/>
      <c r="F2611" s="25"/>
      <c r="G2611" s="156" t="str">
        <f>HYPERLINK("https://ledvance.com/pt/product-datasheet/275113/45521","Ficha Técnica")</f>
        <v>Ficha Técnica</v>
      </c>
      <c r="H2611" s="15">
        <v>4</v>
      </c>
      <c r="I2611" s="163">
        <v>300</v>
      </c>
      <c r="J2611" s="15">
        <v>4</v>
      </c>
      <c r="K2611" s="163" t="s">
        <v>46</v>
      </c>
      <c r="L2611" s="15">
        <v>3</v>
      </c>
      <c r="M2611" s="193">
        <v>53.4</v>
      </c>
      <c r="N2611" s="173" t="s">
        <v>571</v>
      </c>
    </row>
    <row r="2612" spans="1:14" x14ac:dyDescent="0.25">
      <c r="A2612" s="63" t="s">
        <v>570</v>
      </c>
      <c r="B2612" s="71" t="s">
        <v>796</v>
      </c>
      <c r="C2612" s="2">
        <v>4058075092013</v>
      </c>
      <c r="D2612" s="93"/>
      <c r="E2612" s="61"/>
      <c r="F2612" s="25"/>
      <c r="G2612" s="156" t="str">
        <f>HYPERLINK("https://ledvance.com/pt/product-datasheet/275548/44553","Ficha Técnica")</f>
        <v>Ficha Técnica</v>
      </c>
      <c r="H2612" s="15">
        <v>4</v>
      </c>
      <c r="I2612" s="163">
        <v>300</v>
      </c>
      <c r="J2612" s="15">
        <v>4</v>
      </c>
      <c r="K2612" s="163" t="s">
        <v>46</v>
      </c>
      <c r="L2612" s="15">
        <v>3</v>
      </c>
      <c r="M2612" s="193">
        <v>53.5</v>
      </c>
      <c r="N2612" s="173" t="s">
        <v>571</v>
      </c>
    </row>
    <row r="2613" spans="1:14" x14ac:dyDescent="0.25">
      <c r="A2613" s="63" t="s">
        <v>570</v>
      </c>
      <c r="B2613" s="71" t="s">
        <v>797</v>
      </c>
      <c r="C2613" s="2">
        <v>4099854091315</v>
      </c>
      <c r="D2613" s="93"/>
      <c r="E2613" s="61"/>
      <c r="F2613" s="25"/>
      <c r="G2613" s="156" t="str">
        <f>HYPERLINK("https://ledvance.com/pt/product-datasheet/275550/246894","Ficha Técnica")</f>
        <v>Ficha Técnica</v>
      </c>
      <c r="H2613" s="15">
        <v>4</v>
      </c>
      <c r="I2613" s="163">
        <v>140</v>
      </c>
      <c r="J2613" s="15">
        <v>4</v>
      </c>
      <c r="K2613" s="163" t="s">
        <v>46</v>
      </c>
      <c r="L2613" s="15">
        <v>3</v>
      </c>
      <c r="M2613" s="193">
        <v>10.3</v>
      </c>
      <c r="N2613" s="173" t="s">
        <v>571</v>
      </c>
    </row>
    <row r="2614" spans="1:14" x14ac:dyDescent="0.25">
      <c r="A2614" s="63" t="s">
        <v>570</v>
      </c>
      <c r="B2614" s="71" t="s">
        <v>798</v>
      </c>
      <c r="C2614" s="2">
        <v>4058075269989</v>
      </c>
      <c r="D2614" s="93"/>
      <c r="E2614" s="61"/>
      <c r="F2614" s="25"/>
      <c r="G2614" s="156" t="str">
        <f>HYPERLINK("https://ledvance.com/pt/product-datasheet/275548/32837","Ficha Técnica")</f>
        <v>Ficha Técnica</v>
      </c>
      <c r="H2614" s="15">
        <v>4</v>
      </c>
      <c r="I2614" s="163">
        <v>140</v>
      </c>
      <c r="J2614" s="15">
        <v>4</v>
      </c>
      <c r="K2614" s="163" t="s">
        <v>46</v>
      </c>
      <c r="L2614" s="15">
        <v>3</v>
      </c>
      <c r="M2614" s="193">
        <v>22</v>
      </c>
      <c r="N2614" s="173" t="s">
        <v>571</v>
      </c>
    </row>
    <row r="2615" spans="1:14" x14ac:dyDescent="0.25">
      <c r="A2615" s="63" t="s">
        <v>570</v>
      </c>
      <c r="B2615" s="71" t="s">
        <v>799</v>
      </c>
      <c r="C2615" s="2">
        <v>4058075269927</v>
      </c>
      <c r="D2615" s="93"/>
      <c r="E2615" s="61"/>
      <c r="F2615" s="25"/>
      <c r="G2615" s="156" t="str">
        <f>HYPERLINK("https://ledvance.com/pt/product-datasheet/275548/75130","Ficha Técnica")</f>
        <v>Ficha Técnica</v>
      </c>
      <c r="H2615" s="15">
        <v>4</v>
      </c>
      <c r="I2615" s="163">
        <v>140</v>
      </c>
      <c r="J2615" s="15">
        <v>4</v>
      </c>
      <c r="K2615" s="163" t="s">
        <v>46</v>
      </c>
      <c r="L2615" s="15">
        <v>3</v>
      </c>
      <c r="M2615" s="193">
        <v>53.5</v>
      </c>
      <c r="N2615" s="173" t="s">
        <v>571</v>
      </c>
    </row>
    <row r="2616" spans="1:14" x14ac:dyDescent="0.25">
      <c r="A2616" s="63" t="s">
        <v>570</v>
      </c>
      <c r="B2616" s="71" t="s">
        <v>800</v>
      </c>
      <c r="C2616" s="2">
        <v>4058075269903</v>
      </c>
      <c r="D2616" s="93"/>
      <c r="E2616" s="61"/>
      <c r="F2616" s="25"/>
      <c r="G2616" s="156" t="str">
        <f>HYPERLINK("https://ledvance.com/pt/product-datasheet/275113/47657","Ficha Técnica")</f>
        <v>Ficha Técnica</v>
      </c>
      <c r="H2616" s="15">
        <v>4</v>
      </c>
      <c r="I2616" s="163">
        <v>140</v>
      </c>
      <c r="J2616" s="15">
        <v>4</v>
      </c>
      <c r="K2616" s="163" t="s">
        <v>46</v>
      </c>
      <c r="L2616" s="15">
        <v>3</v>
      </c>
      <c r="M2616" s="193">
        <v>53.4</v>
      </c>
      <c r="N2616" s="173" t="s">
        <v>571</v>
      </c>
    </row>
    <row r="2617" spans="1:14" x14ac:dyDescent="0.25">
      <c r="A2617" s="66" t="s">
        <v>570</v>
      </c>
      <c r="B2617" s="69" t="s">
        <v>1253</v>
      </c>
      <c r="C2617" s="51"/>
      <c r="D2617" s="65"/>
      <c r="E2617" s="86"/>
      <c r="F2617" s="12"/>
      <c r="G2617" s="157"/>
      <c r="H2617" s="12"/>
      <c r="I2617" s="62"/>
      <c r="J2617" s="27"/>
      <c r="K2617" s="62"/>
      <c r="L2617" s="12"/>
      <c r="M2617" s="191"/>
      <c r="N2617" s="130"/>
    </row>
    <row r="2618" spans="1:14" x14ac:dyDescent="0.25">
      <c r="A2618" s="63" t="s">
        <v>570</v>
      </c>
      <c r="B2618" s="71" t="s">
        <v>1254</v>
      </c>
      <c r="C2618" s="2">
        <v>4058075836587</v>
      </c>
      <c r="D2618" s="93"/>
      <c r="E2618" s="61"/>
      <c r="G2618" s="156" t="str">
        <f>HYPERLINK("https://ledvance.com/pt/product-datasheet/275556/288354","Ficha Técnica")</f>
        <v>Ficha Técnica</v>
      </c>
      <c r="H2618" s="15">
        <v>6</v>
      </c>
      <c r="I2618" s="163">
        <v>470</v>
      </c>
      <c r="J2618" s="15" t="s">
        <v>1904</v>
      </c>
      <c r="K2618" s="163" t="s">
        <v>46</v>
      </c>
      <c r="L2618" s="15">
        <v>3</v>
      </c>
      <c r="M2618" s="193">
        <v>6.2</v>
      </c>
      <c r="N2618" s="173" t="s">
        <v>571</v>
      </c>
    </row>
    <row r="2619" spans="1:14" x14ac:dyDescent="0.25">
      <c r="A2619" s="63" t="s">
        <v>570</v>
      </c>
      <c r="B2619" s="71" t="s">
        <v>1255</v>
      </c>
      <c r="C2619" s="2">
        <v>4058075836600</v>
      </c>
      <c r="D2619" s="93"/>
      <c r="E2619" s="61"/>
      <c r="G2619" s="156" t="str">
        <f>HYPERLINK("https://ledvance.com/pt/product-datasheet/275556/288357","Ficha Técnica")</f>
        <v>Ficha Técnica</v>
      </c>
      <c r="H2619" s="15">
        <v>6</v>
      </c>
      <c r="I2619" s="163">
        <v>470</v>
      </c>
      <c r="J2619" s="15" t="s">
        <v>1905</v>
      </c>
      <c r="K2619" s="163" t="s">
        <v>46</v>
      </c>
      <c r="L2619" s="15">
        <v>3</v>
      </c>
      <c r="M2619" s="193">
        <v>6.5</v>
      </c>
      <c r="N2619" s="173" t="s">
        <v>571</v>
      </c>
    </row>
    <row r="2620" spans="1:14" x14ac:dyDescent="0.25">
      <c r="A2620" s="63" t="s">
        <v>570</v>
      </c>
      <c r="B2620" s="71" t="s">
        <v>1256</v>
      </c>
      <c r="C2620" s="2">
        <v>4058075836624</v>
      </c>
      <c r="D2620" s="93"/>
      <c r="E2620" s="61"/>
      <c r="G2620" s="156" t="str">
        <f>HYPERLINK("https://ledvance.com/pt/product-datasheet/275556/288360","Ficha Técnica")</f>
        <v>Ficha Técnica</v>
      </c>
      <c r="H2620" s="15">
        <v>6</v>
      </c>
      <c r="I2620" s="163">
        <v>806</v>
      </c>
      <c r="J2620" s="15">
        <v>8</v>
      </c>
      <c r="K2620" s="163" t="s">
        <v>46</v>
      </c>
      <c r="L2620" s="15">
        <v>3</v>
      </c>
      <c r="M2620" s="193">
        <v>7.6</v>
      </c>
      <c r="N2620" s="173" t="s">
        <v>571</v>
      </c>
    </row>
    <row r="2621" spans="1:14" x14ac:dyDescent="0.25">
      <c r="A2621" s="63" t="s">
        <v>570</v>
      </c>
      <c r="B2621" s="71" t="s">
        <v>1257</v>
      </c>
      <c r="C2621" s="2">
        <v>4058075836648</v>
      </c>
      <c r="D2621" s="93"/>
      <c r="E2621" s="61"/>
      <c r="G2621" s="156" t="str">
        <f>HYPERLINK("https://ledvance.com/pt/product-datasheet/275556/288363","Ficha Técnica")</f>
        <v>Ficha Técnica</v>
      </c>
      <c r="H2621" s="15">
        <v>6</v>
      </c>
      <c r="I2621" s="163">
        <v>806</v>
      </c>
      <c r="J2621" s="15">
        <v>8</v>
      </c>
      <c r="K2621" s="163" t="s">
        <v>46</v>
      </c>
      <c r="L2621" s="15">
        <v>3</v>
      </c>
      <c r="M2621" s="193">
        <v>7.7</v>
      </c>
      <c r="N2621" s="173" t="s">
        <v>571</v>
      </c>
    </row>
    <row r="2622" spans="1:14" x14ac:dyDescent="0.25">
      <c r="A2622" s="63" t="s">
        <v>570</v>
      </c>
      <c r="B2622" s="71" t="s">
        <v>1258</v>
      </c>
      <c r="C2622" s="2">
        <v>4058075836709</v>
      </c>
      <c r="D2622" s="93"/>
      <c r="E2622" s="61"/>
      <c r="G2622" s="156" t="str">
        <f>HYPERLINK("https://ledvance.com/pt/product-datasheet/275556/288372","Ficha Técnica")</f>
        <v>Ficha Técnica</v>
      </c>
      <c r="H2622" s="15">
        <v>6</v>
      </c>
      <c r="I2622" s="163">
        <v>300</v>
      </c>
      <c r="J2622" s="15" t="s">
        <v>1906</v>
      </c>
      <c r="K2622" s="163" t="s">
        <v>46</v>
      </c>
      <c r="L2622" s="15">
        <v>3</v>
      </c>
      <c r="M2622" s="193">
        <v>5.8</v>
      </c>
      <c r="N2622" s="173" t="s">
        <v>571</v>
      </c>
    </row>
    <row r="2623" spans="1:14" x14ac:dyDescent="0.25">
      <c r="A2623" s="63" t="s">
        <v>570</v>
      </c>
      <c r="B2623" s="71" t="s">
        <v>1259</v>
      </c>
      <c r="C2623" s="2">
        <v>4058075836723</v>
      </c>
      <c r="D2623" s="93"/>
      <c r="E2623" s="61"/>
      <c r="G2623" s="156" t="str">
        <f>HYPERLINK("https://ledvance.com/pt/product-datasheet/275556/288375","Ficha Técnica")</f>
        <v>Ficha Técnica</v>
      </c>
      <c r="H2623" s="15">
        <v>6</v>
      </c>
      <c r="I2623" s="163">
        <v>300</v>
      </c>
      <c r="J2623" s="15" t="s">
        <v>1881</v>
      </c>
      <c r="K2623" s="163" t="s">
        <v>46</v>
      </c>
      <c r="L2623" s="15">
        <v>3</v>
      </c>
      <c r="M2623" s="193">
        <v>6.1</v>
      </c>
      <c r="N2623" s="173" t="s">
        <v>571</v>
      </c>
    </row>
    <row r="2624" spans="1:14" x14ac:dyDescent="0.25">
      <c r="A2624" s="63" t="s">
        <v>570</v>
      </c>
      <c r="B2624" s="71" t="s">
        <v>1260</v>
      </c>
      <c r="C2624" s="2">
        <v>4058075836747</v>
      </c>
      <c r="D2624" s="93"/>
      <c r="E2624" s="61"/>
      <c r="G2624" s="156" t="str">
        <f>HYPERLINK("https://ledvance.com/pt/product-datasheet/275556/288544","Ficha Técnica")</f>
        <v>Ficha Técnica</v>
      </c>
      <c r="H2624" s="15">
        <v>6</v>
      </c>
      <c r="I2624" s="163">
        <v>470</v>
      </c>
      <c r="J2624" s="15" t="s">
        <v>1904</v>
      </c>
      <c r="K2624" s="163" t="s">
        <v>46</v>
      </c>
      <c r="L2624" s="15">
        <v>3</v>
      </c>
      <c r="M2624" s="193">
        <v>6.1</v>
      </c>
      <c r="N2624" s="173" t="s">
        <v>571</v>
      </c>
    </row>
    <row r="2625" spans="1:14" x14ac:dyDescent="0.25">
      <c r="A2625" s="63" t="s">
        <v>570</v>
      </c>
      <c r="B2625" s="71" t="s">
        <v>1261</v>
      </c>
      <c r="C2625" s="2">
        <v>4058075836761</v>
      </c>
      <c r="D2625" s="93"/>
      <c r="E2625" s="61"/>
      <c r="G2625" s="156" t="str">
        <f>HYPERLINK("https://ledvance.com/pt/product-datasheet/275556/288547","Ficha Técnica")</f>
        <v>Ficha Técnica</v>
      </c>
      <c r="H2625" s="15">
        <v>6</v>
      </c>
      <c r="I2625" s="163">
        <v>470</v>
      </c>
      <c r="J2625" s="15" t="s">
        <v>1905</v>
      </c>
      <c r="K2625" s="163" t="s">
        <v>46</v>
      </c>
      <c r="L2625" s="15">
        <v>3</v>
      </c>
      <c r="M2625" s="193">
        <v>6.5</v>
      </c>
      <c r="N2625" s="173" t="s">
        <v>571</v>
      </c>
    </row>
    <row r="2626" spans="1:14" x14ac:dyDescent="0.25">
      <c r="A2626" s="63" t="s">
        <v>570</v>
      </c>
      <c r="B2626" s="71" t="s">
        <v>1262</v>
      </c>
      <c r="C2626" s="2">
        <v>4058075836785</v>
      </c>
      <c r="D2626" s="93"/>
      <c r="E2626" s="61"/>
      <c r="G2626" s="156" t="str">
        <f>HYPERLINK("https://ledvance.com/pt/product-datasheet/275562/288550","Ficha Técnica")</f>
        <v>Ficha Técnica</v>
      </c>
      <c r="H2626" s="15">
        <v>4</v>
      </c>
      <c r="I2626" s="163">
        <v>470</v>
      </c>
      <c r="J2626" s="15" t="s">
        <v>1904</v>
      </c>
      <c r="K2626" s="163" t="s">
        <v>46</v>
      </c>
      <c r="L2626" s="15">
        <v>3</v>
      </c>
      <c r="M2626" s="193">
        <v>6.5</v>
      </c>
      <c r="N2626" s="173" t="s">
        <v>571</v>
      </c>
    </row>
    <row r="2627" spans="1:14" x14ac:dyDescent="0.25">
      <c r="A2627" s="63" t="s">
        <v>570</v>
      </c>
      <c r="B2627" s="71" t="s">
        <v>1263</v>
      </c>
      <c r="C2627" s="2">
        <v>4058075836808</v>
      </c>
      <c r="D2627" s="93"/>
      <c r="E2627" s="61"/>
      <c r="G2627" s="156" t="str">
        <f>HYPERLINK("https://ledvance.com/pt/product-datasheet/275562/288553","Ficha Técnica")</f>
        <v>Ficha Técnica</v>
      </c>
      <c r="H2627" s="15">
        <v>4</v>
      </c>
      <c r="I2627" s="163">
        <v>806</v>
      </c>
      <c r="J2627" s="15" t="s">
        <v>1883</v>
      </c>
      <c r="K2627" s="163" t="s">
        <v>46</v>
      </c>
      <c r="L2627" s="15">
        <v>3</v>
      </c>
      <c r="M2627" s="193">
        <v>7.3</v>
      </c>
      <c r="N2627" s="173" t="s">
        <v>571</v>
      </c>
    </row>
    <row r="2628" spans="1:14" x14ac:dyDescent="0.25">
      <c r="A2628" s="63" t="s">
        <v>570</v>
      </c>
      <c r="B2628" s="71" t="s">
        <v>1264</v>
      </c>
      <c r="C2628" s="2">
        <v>4058075836822</v>
      </c>
      <c r="D2628" s="93"/>
      <c r="E2628" s="61"/>
      <c r="G2628" s="156" t="str">
        <f>HYPERLINK("https://ledvance.com/pt/product-datasheet/275562/288556","Ficha Técnica")</f>
        <v>Ficha Técnica</v>
      </c>
      <c r="H2628" s="15">
        <v>4</v>
      </c>
      <c r="I2628" s="163">
        <v>470</v>
      </c>
      <c r="J2628" s="15" t="s">
        <v>1905</v>
      </c>
      <c r="K2628" s="163" t="s">
        <v>46</v>
      </c>
      <c r="L2628" s="15">
        <v>3</v>
      </c>
      <c r="M2628" s="193">
        <v>7.7</v>
      </c>
      <c r="N2628" s="173" t="s">
        <v>571</v>
      </c>
    </row>
    <row r="2629" spans="1:14" x14ac:dyDescent="0.25">
      <c r="A2629" s="63" t="s">
        <v>570</v>
      </c>
      <c r="B2629" s="71" t="s">
        <v>1265</v>
      </c>
      <c r="C2629" s="2">
        <v>4058075836846</v>
      </c>
      <c r="D2629" s="93"/>
      <c r="E2629" s="61"/>
      <c r="G2629" s="156" t="str">
        <f>HYPERLINK("https://ledvance.com/pt/product-datasheet/275562/288559","Ficha Técnica")</f>
        <v>Ficha Técnica</v>
      </c>
      <c r="H2629" s="15">
        <v>4</v>
      </c>
      <c r="I2629" s="163">
        <v>806</v>
      </c>
      <c r="J2629" s="15">
        <v>8</v>
      </c>
      <c r="K2629" s="163" t="s">
        <v>46</v>
      </c>
      <c r="L2629" s="15">
        <v>3</v>
      </c>
      <c r="M2629" s="193">
        <v>8.1</v>
      </c>
      <c r="N2629" s="173" t="s">
        <v>571</v>
      </c>
    </row>
    <row r="2630" spans="1:14" x14ac:dyDescent="0.25">
      <c r="A2630" s="63" t="s">
        <v>570</v>
      </c>
      <c r="B2630" s="71" t="s">
        <v>1264</v>
      </c>
      <c r="C2630" s="2">
        <v>4058075836860</v>
      </c>
      <c r="D2630" s="93"/>
      <c r="E2630" s="61"/>
      <c r="G2630" s="156" t="str">
        <f>HYPERLINK("https://ledvance.com/pt/product-datasheet/275562/288562","Ficha Técnica")</f>
        <v>Ficha Técnica</v>
      </c>
      <c r="H2630" s="15">
        <v>4</v>
      </c>
      <c r="I2630" s="163">
        <v>470</v>
      </c>
      <c r="J2630" s="15" t="s">
        <v>1905</v>
      </c>
      <c r="K2630" s="163" t="s">
        <v>46</v>
      </c>
      <c r="L2630" s="15">
        <v>3</v>
      </c>
      <c r="M2630" s="193">
        <v>7.3</v>
      </c>
      <c r="N2630" s="173" t="s">
        <v>571</v>
      </c>
    </row>
    <row r="2631" spans="1:14" x14ac:dyDescent="0.25">
      <c r="A2631" s="63" t="s">
        <v>570</v>
      </c>
      <c r="B2631" s="71" t="s">
        <v>1265</v>
      </c>
      <c r="C2631" s="2">
        <v>4058075836884</v>
      </c>
      <c r="D2631" s="93"/>
      <c r="E2631" s="61"/>
      <c r="G2631" s="156" t="str">
        <f>HYPERLINK("https://ledvance.com/pt/product-datasheet/275562/288565","Ficha Técnica")</f>
        <v>Ficha Técnica</v>
      </c>
      <c r="H2631" s="15">
        <v>4</v>
      </c>
      <c r="I2631" s="163">
        <v>806</v>
      </c>
      <c r="J2631" s="15">
        <v>8</v>
      </c>
      <c r="K2631" s="163" t="s">
        <v>46</v>
      </c>
      <c r="L2631" s="15">
        <v>3</v>
      </c>
      <c r="M2631" s="193">
        <v>7.8</v>
      </c>
      <c r="N2631" s="173" t="s">
        <v>571</v>
      </c>
    </row>
    <row r="2632" spans="1:14" x14ac:dyDescent="0.25">
      <c r="A2632" s="63" t="s">
        <v>570</v>
      </c>
      <c r="B2632" s="71" t="s">
        <v>1266</v>
      </c>
      <c r="C2632" s="2">
        <v>4058075836907</v>
      </c>
      <c r="D2632" s="93"/>
      <c r="E2632" s="61"/>
      <c r="G2632" s="156" t="str">
        <f>HYPERLINK("https://ledvance.com/pt/product-datasheet/275562/288568","Ficha Técnica")</f>
        <v>Ficha Técnica</v>
      </c>
      <c r="H2632" s="15">
        <v>4</v>
      </c>
      <c r="I2632" s="163">
        <v>806</v>
      </c>
      <c r="J2632" s="15" t="s">
        <v>1883</v>
      </c>
      <c r="K2632" s="163" t="s">
        <v>46</v>
      </c>
      <c r="L2632" s="15">
        <v>3</v>
      </c>
      <c r="M2632" s="193">
        <v>8.6999999999999993</v>
      </c>
      <c r="N2632" s="173" t="s">
        <v>571</v>
      </c>
    </row>
    <row r="2633" spans="1:14" x14ac:dyDescent="0.25">
      <c r="A2633" s="63" t="s">
        <v>570</v>
      </c>
      <c r="B2633" s="71" t="s">
        <v>1267</v>
      </c>
      <c r="C2633" s="2">
        <v>4058075836921</v>
      </c>
      <c r="D2633" s="93"/>
      <c r="E2633" s="61"/>
      <c r="G2633" s="156" t="str">
        <f>HYPERLINK("https://ledvance.com/pt/product-datasheet/275562/288571","Ficha Técnica")</f>
        <v>Ficha Técnica</v>
      </c>
      <c r="H2633" s="15">
        <v>4</v>
      </c>
      <c r="I2633" s="163">
        <v>470</v>
      </c>
      <c r="J2633" s="15" t="s">
        <v>1905</v>
      </c>
      <c r="K2633" s="163" t="s">
        <v>46</v>
      </c>
      <c r="L2633" s="15">
        <v>3</v>
      </c>
      <c r="M2633" s="193">
        <v>8.3000000000000007</v>
      </c>
      <c r="N2633" s="173" t="s">
        <v>571</v>
      </c>
    </row>
    <row r="2634" spans="1:14" x14ac:dyDescent="0.25">
      <c r="A2634" s="63" t="s">
        <v>570</v>
      </c>
      <c r="B2634" s="71" t="s">
        <v>1268</v>
      </c>
      <c r="C2634" s="2">
        <v>4058075836945</v>
      </c>
      <c r="D2634" s="93"/>
      <c r="E2634" s="61"/>
      <c r="G2634" s="156" t="str">
        <f>HYPERLINK("https://ledvance.com/pt/product-datasheet/275562/288574","Ficha Técnica")</f>
        <v>Ficha Técnica</v>
      </c>
      <c r="H2634" s="15">
        <v>4</v>
      </c>
      <c r="I2634" s="163">
        <v>806</v>
      </c>
      <c r="J2634" s="15">
        <v>8</v>
      </c>
      <c r="K2634" s="163" t="s">
        <v>46</v>
      </c>
      <c r="L2634" s="15">
        <v>3</v>
      </c>
      <c r="M2634" s="193">
        <v>9.1</v>
      </c>
      <c r="N2634" s="173" t="s">
        <v>571</v>
      </c>
    </row>
    <row r="2635" spans="1:14" x14ac:dyDescent="0.25">
      <c r="A2635" s="63" t="s">
        <v>570</v>
      </c>
      <c r="B2635" s="71" t="s">
        <v>1269</v>
      </c>
      <c r="C2635" s="2">
        <v>4058075836969</v>
      </c>
      <c r="D2635" s="93"/>
      <c r="E2635" s="61"/>
      <c r="G2635" s="156" t="str">
        <f>HYPERLINK("https://ledvance.com/pt/product-datasheet/275563/288378","Ficha Técnica")</f>
        <v>Ficha Técnica</v>
      </c>
      <c r="H2635" s="15">
        <v>4</v>
      </c>
      <c r="I2635" s="163">
        <v>806</v>
      </c>
      <c r="J2635" s="15" t="s">
        <v>1883</v>
      </c>
      <c r="K2635" s="163" t="s">
        <v>46</v>
      </c>
      <c r="L2635" s="15">
        <v>3</v>
      </c>
      <c r="M2635" s="193">
        <v>7.9</v>
      </c>
      <c r="N2635" s="173" t="s">
        <v>571</v>
      </c>
    </row>
    <row r="2636" spans="1:14" x14ac:dyDescent="0.25">
      <c r="A2636" s="63" t="s">
        <v>570</v>
      </c>
      <c r="B2636" s="71" t="s">
        <v>1270</v>
      </c>
      <c r="C2636" s="2">
        <v>4058075836983</v>
      </c>
      <c r="D2636" s="93"/>
      <c r="E2636" s="61"/>
      <c r="G2636" s="156" t="str">
        <f>HYPERLINK("https://ledvance.com/pt/product-datasheet/275563/288381","Ficha Técnica")</f>
        <v>Ficha Técnica</v>
      </c>
      <c r="H2636" s="15">
        <v>4</v>
      </c>
      <c r="I2636" s="163">
        <v>470</v>
      </c>
      <c r="J2636" s="15" t="s">
        <v>1905</v>
      </c>
      <c r="K2636" s="163" t="s">
        <v>46</v>
      </c>
      <c r="L2636" s="15">
        <v>3</v>
      </c>
      <c r="M2636" s="193">
        <v>7.3</v>
      </c>
      <c r="N2636" s="173" t="s">
        <v>571</v>
      </c>
    </row>
    <row r="2637" spans="1:14" x14ac:dyDescent="0.25">
      <c r="A2637" s="63" t="s">
        <v>570</v>
      </c>
      <c r="B2637" s="71" t="s">
        <v>1271</v>
      </c>
      <c r="C2637" s="2">
        <v>4058075837003</v>
      </c>
      <c r="D2637" s="93"/>
      <c r="E2637" s="61"/>
      <c r="G2637" s="156" t="str">
        <f>HYPERLINK("https://ledvance.com/pt/product-datasheet/275563/288384","Ficha Técnica")</f>
        <v>Ficha Técnica</v>
      </c>
      <c r="H2637" s="15">
        <v>4</v>
      </c>
      <c r="I2637" s="163">
        <v>806</v>
      </c>
      <c r="J2637" s="15">
        <v>8</v>
      </c>
      <c r="K2637" s="163" t="s">
        <v>46</v>
      </c>
      <c r="L2637" s="15">
        <v>3</v>
      </c>
      <c r="M2637" s="193">
        <v>8.4</v>
      </c>
      <c r="N2637" s="173" t="s">
        <v>571</v>
      </c>
    </row>
    <row r="2638" spans="1:14" x14ac:dyDescent="0.25">
      <c r="A2638" s="66" t="s">
        <v>570</v>
      </c>
      <c r="B2638" s="69" t="s">
        <v>751</v>
      </c>
      <c r="C2638" s="51"/>
      <c r="D2638" s="65"/>
      <c r="E2638" s="86"/>
      <c r="F2638" s="12"/>
      <c r="G2638" s="157"/>
      <c r="H2638" s="12"/>
      <c r="I2638" s="62"/>
      <c r="J2638" s="27"/>
      <c r="K2638" s="62"/>
      <c r="L2638" s="12"/>
      <c r="M2638" s="191"/>
      <c r="N2638" s="130"/>
    </row>
    <row r="2639" spans="1:14" x14ac:dyDescent="0.25">
      <c r="A2639" s="63" t="s">
        <v>570</v>
      </c>
      <c r="B2639" s="71" t="s">
        <v>1272</v>
      </c>
      <c r="C2639" s="2">
        <v>4058075836167</v>
      </c>
      <c r="D2639" s="93"/>
      <c r="E2639" s="61"/>
      <c r="G2639" s="156" t="str">
        <f>HYPERLINK("https://ledvance.com/pt/product-datasheet/275548/288767","Ficha Técnica")</f>
        <v>Ficha Técnica</v>
      </c>
      <c r="H2639" s="15">
        <v>4</v>
      </c>
      <c r="I2639" s="163">
        <v>150</v>
      </c>
      <c r="J2639" s="15" t="s">
        <v>1903</v>
      </c>
      <c r="K2639" s="163" t="s">
        <v>46</v>
      </c>
      <c r="L2639" s="15">
        <v>3</v>
      </c>
      <c r="M2639" s="193">
        <v>51.6</v>
      </c>
      <c r="N2639" s="173" t="s">
        <v>571</v>
      </c>
    </row>
    <row r="2640" spans="1:14" x14ac:dyDescent="0.25">
      <c r="A2640" s="63" t="s">
        <v>570</v>
      </c>
      <c r="B2640" s="71" t="s">
        <v>1273</v>
      </c>
      <c r="C2640" s="2">
        <v>4058075836181</v>
      </c>
      <c r="D2640" s="93"/>
      <c r="E2640" s="61"/>
      <c r="G2640" s="156" t="str">
        <f>HYPERLINK("https://ledvance.com/pt/product-datasheet/275551/288770","Ficha Técnica")</f>
        <v>Ficha Técnica</v>
      </c>
      <c r="H2640" s="15">
        <v>4</v>
      </c>
      <c r="I2640" s="163">
        <v>150</v>
      </c>
      <c r="J2640" s="15" t="s">
        <v>1903</v>
      </c>
      <c r="K2640" s="163" t="s">
        <v>46</v>
      </c>
      <c r="L2640" s="15">
        <v>3</v>
      </c>
      <c r="M2640" s="193">
        <v>46.3</v>
      </c>
      <c r="N2640" s="173" t="s">
        <v>571</v>
      </c>
    </row>
    <row r="2641" spans="1:14" x14ac:dyDescent="0.25">
      <c r="A2641" s="63" t="s">
        <v>570</v>
      </c>
      <c r="B2641" s="71" t="s">
        <v>1274</v>
      </c>
      <c r="C2641" s="2">
        <v>4058075836129</v>
      </c>
      <c r="D2641" s="93"/>
      <c r="E2641" s="61"/>
      <c r="G2641" s="156" t="str">
        <f>HYPERLINK("https://ledvance.com/pt/product-datasheet/275561/288761","Ficha Técnica")</f>
        <v>Ficha Técnica</v>
      </c>
      <c r="H2641" s="15">
        <v>4</v>
      </c>
      <c r="I2641" s="163">
        <v>806</v>
      </c>
      <c r="J2641" s="15" t="s">
        <v>1876</v>
      </c>
      <c r="K2641" s="163" t="s">
        <v>46</v>
      </c>
      <c r="L2641" s="15">
        <v>3</v>
      </c>
      <c r="M2641" s="193">
        <v>53.4</v>
      </c>
      <c r="N2641" s="173" t="s">
        <v>571</v>
      </c>
    </row>
    <row r="2642" spans="1:14" x14ac:dyDescent="0.25">
      <c r="A2642" s="63" t="s">
        <v>570</v>
      </c>
      <c r="B2642" s="71" t="s">
        <v>1275</v>
      </c>
      <c r="C2642" s="2">
        <v>4058075836143</v>
      </c>
      <c r="D2642" s="93"/>
      <c r="E2642" s="61"/>
      <c r="G2642" s="156" t="str">
        <f>HYPERLINK("https://ledvance.com/pt/product-datasheet/275561/288764","Ficha Técnica")</f>
        <v>Ficha Técnica</v>
      </c>
      <c r="H2642" s="15">
        <v>4</v>
      </c>
      <c r="I2642" s="163">
        <v>806</v>
      </c>
      <c r="J2642" s="15" t="s">
        <v>1876</v>
      </c>
      <c r="K2642" s="163" t="s">
        <v>46</v>
      </c>
      <c r="L2642" s="15">
        <v>3</v>
      </c>
      <c r="M2642" s="193">
        <v>60.1</v>
      </c>
      <c r="N2642" s="173" t="s">
        <v>571</v>
      </c>
    </row>
    <row r="2643" spans="1:14" x14ac:dyDescent="0.25">
      <c r="A2643" s="63" t="s">
        <v>570</v>
      </c>
      <c r="B2643" s="71" t="s">
        <v>1276</v>
      </c>
      <c r="C2643" s="2">
        <v>4058075836204</v>
      </c>
      <c r="D2643" s="93"/>
      <c r="E2643" s="61"/>
      <c r="G2643" s="156" t="str">
        <f>HYPERLINK("https://ledvance.com/pt/product-datasheet/275562/288773","Ficha Técnica")</f>
        <v>Ficha Técnica</v>
      </c>
      <c r="H2643" s="15">
        <v>4</v>
      </c>
      <c r="I2643" s="163">
        <v>806</v>
      </c>
      <c r="J2643" s="15" t="s">
        <v>1876</v>
      </c>
      <c r="K2643" s="163" t="s">
        <v>46</v>
      </c>
      <c r="L2643" s="15">
        <v>3</v>
      </c>
      <c r="M2643" s="193">
        <v>55.5</v>
      </c>
      <c r="N2643" s="173" t="s">
        <v>571</v>
      </c>
    </row>
    <row r="2644" spans="1:14" x14ac:dyDescent="0.25">
      <c r="A2644" s="63" t="s">
        <v>570</v>
      </c>
      <c r="B2644" s="71" t="s">
        <v>1277</v>
      </c>
      <c r="C2644" s="2">
        <v>4058075836228</v>
      </c>
      <c r="D2644" s="93"/>
      <c r="E2644" s="61"/>
      <c r="G2644" s="156" t="str">
        <f>HYPERLINK("https://ledvance.com/pt/product-datasheet/275561/288776","Ficha Técnica")</f>
        <v>Ficha Técnica</v>
      </c>
      <c r="H2644" s="15">
        <v>4</v>
      </c>
      <c r="I2644" s="163">
        <v>806</v>
      </c>
      <c r="J2644" s="15" t="s">
        <v>1876</v>
      </c>
      <c r="K2644" s="163" t="s">
        <v>46</v>
      </c>
      <c r="L2644" s="15">
        <v>3</v>
      </c>
      <c r="M2644" s="193">
        <v>55.4</v>
      </c>
      <c r="N2644" s="173" t="s">
        <v>571</v>
      </c>
    </row>
    <row r="2645" spans="1:14" x14ac:dyDescent="0.25">
      <c r="A2645" s="66" t="s">
        <v>570</v>
      </c>
      <c r="B2645" s="69" t="s">
        <v>763</v>
      </c>
      <c r="C2645" s="51"/>
      <c r="D2645" s="65"/>
      <c r="E2645" s="86"/>
      <c r="F2645" s="12"/>
      <c r="G2645" s="157"/>
      <c r="H2645" s="12"/>
      <c r="I2645" s="62"/>
      <c r="J2645" s="27"/>
      <c r="K2645" s="62"/>
      <c r="L2645" s="12"/>
      <c r="M2645" s="191"/>
      <c r="N2645" s="130"/>
    </row>
    <row r="2646" spans="1:14" x14ac:dyDescent="0.25">
      <c r="A2646" s="63" t="s">
        <v>570</v>
      </c>
      <c r="B2646" s="71" t="s">
        <v>1278</v>
      </c>
      <c r="C2646" s="2">
        <v>4058075836525</v>
      </c>
      <c r="D2646" s="93"/>
      <c r="E2646" s="61"/>
      <c r="G2646" s="156" t="str">
        <f>HYPERLINK("https://ledvance.com/pt/product-datasheet/275113/288351","Ficha Técnica")</f>
        <v>Ficha Técnica</v>
      </c>
      <c r="H2646" s="15">
        <v>6</v>
      </c>
      <c r="I2646" s="163">
        <v>470</v>
      </c>
      <c r="J2646" s="15" t="s">
        <v>1905</v>
      </c>
      <c r="K2646" s="163" t="s">
        <v>46</v>
      </c>
      <c r="L2646" s="15">
        <v>3</v>
      </c>
      <c r="M2646" s="193">
        <v>6</v>
      </c>
      <c r="N2646" s="173" t="s">
        <v>571</v>
      </c>
    </row>
    <row r="2647" spans="1:14" x14ac:dyDescent="0.25">
      <c r="A2647" s="63" t="s">
        <v>570</v>
      </c>
      <c r="B2647" s="71" t="s">
        <v>1279</v>
      </c>
      <c r="C2647" s="2">
        <v>4058075836549</v>
      </c>
      <c r="D2647" s="93"/>
      <c r="E2647" s="61"/>
      <c r="G2647" s="156" t="str">
        <f>HYPERLINK("https://ledvance.com/pt/product-datasheet/275548/288538","Ficha Técnica")</f>
        <v>Ficha Técnica</v>
      </c>
      <c r="H2647" s="15">
        <v>4</v>
      </c>
      <c r="I2647" s="163">
        <v>470</v>
      </c>
      <c r="J2647" s="15" t="s">
        <v>1900</v>
      </c>
      <c r="K2647" s="163" t="s">
        <v>46</v>
      </c>
      <c r="L2647" s="15">
        <v>3</v>
      </c>
      <c r="M2647" s="193">
        <v>8.1</v>
      </c>
      <c r="N2647" s="173" t="s">
        <v>571</v>
      </c>
    </row>
    <row r="2648" spans="1:14" x14ac:dyDescent="0.25">
      <c r="A2648" s="63" t="s">
        <v>570</v>
      </c>
      <c r="B2648" s="71" t="s">
        <v>1280</v>
      </c>
      <c r="C2648" s="2">
        <v>4058075836563</v>
      </c>
      <c r="D2648" s="93"/>
      <c r="E2648" s="61"/>
      <c r="G2648" s="156" t="str">
        <f>HYPERLINK("https://ledvance.com/pt/product-datasheet/275546/288541","Ficha Técnica")</f>
        <v>Ficha Técnica</v>
      </c>
      <c r="H2648" s="15">
        <v>6</v>
      </c>
      <c r="I2648" s="163">
        <v>470</v>
      </c>
      <c r="J2648" s="15" t="s">
        <v>1905</v>
      </c>
      <c r="K2648" s="163" t="s">
        <v>46</v>
      </c>
      <c r="L2648" s="15">
        <v>3</v>
      </c>
      <c r="M2648" s="193">
        <v>5.4</v>
      </c>
      <c r="N2648" s="173" t="s">
        <v>571</v>
      </c>
    </row>
    <row r="2649" spans="1:14" x14ac:dyDescent="0.25">
      <c r="A2649" s="63" t="s">
        <v>570</v>
      </c>
      <c r="B2649" s="71" t="s">
        <v>1281</v>
      </c>
      <c r="C2649" s="2">
        <v>4058075836662</v>
      </c>
      <c r="D2649" s="93"/>
      <c r="E2649" s="61"/>
      <c r="G2649" s="156" t="str">
        <f>HYPERLINK("https://ledvance.com/pt/product-datasheet/275113/288366","Ficha Técnica")</f>
        <v>Ficha Técnica</v>
      </c>
      <c r="H2649" s="15">
        <v>6</v>
      </c>
      <c r="I2649" s="163">
        <v>806</v>
      </c>
      <c r="J2649" s="15" t="s">
        <v>1894</v>
      </c>
      <c r="K2649" s="163" t="s">
        <v>46</v>
      </c>
      <c r="L2649" s="15">
        <v>3</v>
      </c>
      <c r="M2649" s="193">
        <v>8.6999999999999993</v>
      </c>
      <c r="N2649" s="173" t="s">
        <v>571</v>
      </c>
    </row>
    <row r="2650" spans="1:14" x14ac:dyDescent="0.25">
      <c r="A2650" s="63" t="s">
        <v>570</v>
      </c>
      <c r="B2650" s="71" t="s">
        <v>1282</v>
      </c>
      <c r="C2650" s="2">
        <v>4058075836686</v>
      </c>
      <c r="D2650" s="93"/>
      <c r="E2650" s="61"/>
      <c r="G2650" s="156" t="str">
        <f>HYPERLINK("https://ledvance.com/pt/product-datasheet/275113/288369","Ficha Técnica")</f>
        <v>Ficha Técnica</v>
      </c>
      <c r="H2650" s="15">
        <v>6</v>
      </c>
      <c r="I2650" s="163">
        <v>470</v>
      </c>
      <c r="J2650" s="15" t="s">
        <v>1900</v>
      </c>
      <c r="K2650" s="163" t="s">
        <v>46</v>
      </c>
      <c r="L2650" s="15">
        <v>3</v>
      </c>
      <c r="M2650" s="193">
        <v>6</v>
      </c>
      <c r="N2650" s="173" t="s">
        <v>571</v>
      </c>
    </row>
    <row r="2651" spans="1:14" x14ac:dyDescent="0.25">
      <c r="A2651" s="63" t="s">
        <v>570</v>
      </c>
      <c r="B2651" s="71" t="s">
        <v>1283</v>
      </c>
      <c r="C2651" s="2">
        <v>4058075837027</v>
      </c>
      <c r="D2651" s="93"/>
      <c r="E2651" s="61"/>
      <c r="G2651" s="156" t="str">
        <f>HYPERLINK("https://ledvance.com/pt/product-datasheet/275550/288387","Ficha Técnica")</f>
        <v>Ficha Técnica</v>
      </c>
      <c r="H2651" s="15">
        <v>4</v>
      </c>
      <c r="I2651" s="163">
        <v>470</v>
      </c>
      <c r="J2651" s="15" t="s">
        <v>1900</v>
      </c>
      <c r="K2651" s="163" t="s">
        <v>46</v>
      </c>
      <c r="L2651" s="15">
        <v>3</v>
      </c>
      <c r="M2651" s="193">
        <v>6.2</v>
      </c>
      <c r="N2651" s="173" t="s">
        <v>571</v>
      </c>
    </row>
    <row r="2652" spans="1:14" x14ac:dyDescent="0.25">
      <c r="A2652" s="66" t="s">
        <v>570</v>
      </c>
      <c r="B2652" s="69" t="s">
        <v>1284</v>
      </c>
      <c r="C2652" s="51"/>
      <c r="D2652" s="65"/>
      <c r="E2652" s="86"/>
      <c r="F2652" s="12"/>
      <c r="G2652" s="157"/>
      <c r="H2652" s="12"/>
      <c r="I2652" s="62"/>
      <c r="J2652" s="27"/>
      <c r="K2652" s="62"/>
      <c r="L2652" s="12"/>
      <c r="M2652" s="191"/>
      <c r="N2652" s="130"/>
    </row>
    <row r="2653" spans="1:14" x14ac:dyDescent="0.25">
      <c r="A2653" s="63" t="s">
        <v>570</v>
      </c>
      <c r="B2653" s="71" t="s">
        <v>3853</v>
      </c>
      <c r="C2653" s="2">
        <v>4099854173806</v>
      </c>
      <c r="D2653" s="93"/>
      <c r="E2653" s="61"/>
      <c r="G2653" s="156" t="str">
        <f>HYPERLINK("https://ledvance.com/pt/product-datasheet/275742/268853","Ficha Técnica")</f>
        <v>Ficha Técnica</v>
      </c>
      <c r="H2653" s="15">
        <v>4</v>
      </c>
      <c r="I2653" s="163">
        <v>120</v>
      </c>
      <c r="J2653" s="15" t="s">
        <v>1895</v>
      </c>
      <c r="K2653" s="163" t="s">
        <v>46</v>
      </c>
      <c r="L2653" s="15">
        <v>3</v>
      </c>
      <c r="M2653" s="193">
        <v>85.8</v>
      </c>
      <c r="N2653" s="173" t="s">
        <v>571</v>
      </c>
    </row>
    <row r="2654" spans="1:14" x14ac:dyDescent="0.25">
      <c r="A2654" s="63" t="s">
        <v>570</v>
      </c>
      <c r="B2654" s="71" t="s">
        <v>3854</v>
      </c>
      <c r="C2654" s="2">
        <v>4099854173844</v>
      </c>
      <c r="D2654" s="93"/>
      <c r="E2654" s="61"/>
      <c r="G2654" s="156" t="str">
        <f>HYPERLINK("https://ledvance.com/pt/product-datasheet/275742/268856","Ficha Técnica")</f>
        <v>Ficha Técnica</v>
      </c>
      <c r="H2654" s="15">
        <v>4</v>
      </c>
      <c r="I2654" s="163">
        <v>250</v>
      </c>
      <c r="J2654" s="15" t="s">
        <v>1900</v>
      </c>
      <c r="K2654" s="163" t="s">
        <v>46</v>
      </c>
      <c r="L2654" s="15">
        <v>3</v>
      </c>
      <c r="M2654" s="193">
        <v>85.7</v>
      </c>
      <c r="N2654" s="173" t="s">
        <v>571</v>
      </c>
    </row>
    <row r="2655" spans="1:14" x14ac:dyDescent="0.25">
      <c r="A2655" s="63" t="s">
        <v>570</v>
      </c>
      <c r="B2655" s="71" t="s">
        <v>3855</v>
      </c>
      <c r="C2655" s="2">
        <v>4099854173882</v>
      </c>
      <c r="D2655" s="93"/>
      <c r="E2655" s="61"/>
      <c r="G2655" s="156" t="str">
        <f>HYPERLINK("https://ledvance.com/pt/product-datasheet/275742/268859","Ficha Técnica")</f>
        <v>Ficha Técnica</v>
      </c>
      <c r="H2655" s="15">
        <v>4</v>
      </c>
      <c r="I2655" s="163">
        <v>280</v>
      </c>
      <c r="J2655" s="15">
        <v>4</v>
      </c>
      <c r="K2655" s="163" t="s">
        <v>46</v>
      </c>
      <c r="L2655" s="15">
        <v>3</v>
      </c>
      <c r="M2655" s="193">
        <v>78.5</v>
      </c>
      <c r="N2655" s="173" t="s">
        <v>571</v>
      </c>
    </row>
    <row r="2656" spans="1:14" x14ac:dyDescent="0.25">
      <c r="A2656" s="63" t="s">
        <v>570</v>
      </c>
      <c r="B2656" s="71" t="s">
        <v>3856</v>
      </c>
      <c r="C2656" s="2">
        <v>4099854173929</v>
      </c>
      <c r="D2656" s="93"/>
      <c r="E2656" s="61"/>
      <c r="G2656" s="156" t="str">
        <f>HYPERLINK("https://ledvance.com/pt/product-datasheet/275742/268862","Ficha Técnica")</f>
        <v>Ficha Técnica</v>
      </c>
      <c r="H2656" s="15">
        <v>4</v>
      </c>
      <c r="I2656" s="163">
        <v>60</v>
      </c>
      <c r="J2656" s="15">
        <v>4</v>
      </c>
      <c r="K2656" s="163" t="s">
        <v>46</v>
      </c>
      <c r="L2656" s="15">
        <v>3</v>
      </c>
      <c r="M2656" s="193">
        <v>85.8</v>
      </c>
      <c r="N2656" s="173" t="s">
        <v>571</v>
      </c>
    </row>
    <row r="2657" spans="1:14" x14ac:dyDescent="0.25">
      <c r="A2657" s="63" t="s">
        <v>570</v>
      </c>
      <c r="B2657" s="71" t="s">
        <v>3857</v>
      </c>
      <c r="C2657" s="2">
        <v>4099854173943</v>
      </c>
      <c r="D2657" s="93"/>
      <c r="E2657" s="61"/>
      <c r="G2657" s="156" t="str">
        <f>HYPERLINK("https://ledvance.com/pt/product-datasheet/275742/268865","Ficha Técnica")</f>
        <v>Ficha Técnica</v>
      </c>
      <c r="H2657" s="15">
        <v>4</v>
      </c>
      <c r="I2657" s="163">
        <v>100</v>
      </c>
      <c r="J2657" s="15">
        <v>4</v>
      </c>
      <c r="K2657" s="163" t="s">
        <v>46</v>
      </c>
      <c r="L2657" s="15">
        <v>3</v>
      </c>
      <c r="M2657" s="193">
        <v>85.7</v>
      </c>
      <c r="N2657" s="173" t="s">
        <v>571</v>
      </c>
    </row>
    <row r="2658" spans="1:14" x14ac:dyDescent="0.25">
      <c r="A2658" s="63" t="s">
        <v>570</v>
      </c>
      <c r="B2658" s="71" t="s">
        <v>3858</v>
      </c>
      <c r="C2658" s="2">
        <v>4099854173981</v>
      </c>
      <c r="D2658" s="93"/>
      <c r="E2658" s="61"/>
      <c r="G2658" s="156" t="str">
        <f>HYPERLINK("https://ledvance.com/pt/product-datasheet/275742/268868","Ficha Técnica")</f>
        <v>Ficha Técnica</v>
      </c>
      <c r="H2658" s="15">
        <v>4</v>
      </c>
      <c r="I2658" s="163">
        <v>120</v>
      </c>
      <c r="J2658" s="15">
        <v>4</v>
      </c>
      <c r="K2658" s="163" t="s">
        <v>46</v>
      </c>
      <c r="L2658" s="15">
        <v>3</v>
      </c>
      <c r="M2658" s="193">
        <v>78.5</v>
      </c>
      <c r="N2658" s="173" t="s">
        <v>571</v>
      </c>
    </row>
    <row r="2659" spans="1:14" x14ac:dyDescent="0.25">
      <c r="A2659" s="66" t="s">
        <v>570</v>
      </c>
      <c r="B2659" s="69" t="s">
        <v>1285</v>
      </c>
      <c r="C2659" s="51"/>
      <c r="D2659" s="65"/>
      <c r="E2659" s="86"/>
      <c r="F2659" s="12"/>
      <c r="G2659" s="157"/>
      <c r="H2659" s="12"/>
      <c r="I2659" s="62"/>
      <c r="J2659" s="27"/>
      <c r="K2659" s="62"/>
      <c r="L2659" s="12"/>
      <c r="M2659" s="191"/>
      <c r="N2659" s="130"/>
    </row>
    <row r="2660" spans="1:14" x14ac:dyDescent="0.25">
      <c r="A2660" s="63" t="s">
        <v>570</v>
      </c>
      <c r="B2660" s="71" t="s">
        <v>1541</v>
      </c>
      <c r="C2660" s="2">
        <v>4058075836242</v>
      </c>
      <c r="D2660" s="93"/>
      <c r="E2660" s="61"/>
      <c r="G2660" s="156" t="str">
        <f>HYPERLINK("https://ledvance.com/pt/product-datasheet/303840/288779","Ficha Técnica")</f>
        <v>Ficha Técnica</v>
      </c>
      <c r="H2660" s="15">
        <v>4</v>
      </c>
      <c r="I2660" s="163">
        <v>500</v>
      </c>
      <c r="J2660" s="15">
        <v>12</v>
      </c>
      <c r="K2660" s="163" t="s">
        <v>46</v>
      </c>
      <c r="L2660" s="15">
        <v>3</v>
      </c>
      <c r="M2660" s="193">
        <v>99.8</v>
      </c>
      <c r="N2660" s="173" t="s">
        <v>571</v>
      </c>
    </row>
    <row r="2661" spans="1:14" x14ac:dyDescent="0.25">
      <c r="A2661" s="63" t="s">
        <v>570</v>
      </c>
      <c r="B2661" s="71" t="s">
        <v>1542</v>
      </c>
      <c r="C2661" s="2">
        <v>4058075836266</v>
      </c>
      <c r="D2661" s="93"/>
      <c r="E2661" s="61"/>
      <c r="G2661" s="156" t="str">
        <f>HYPERLINK("https://ledvance.com/pt/product-datasheet/303840/288782","Ficha Técnica")</f>
        <v>Ficha Técnica</v>
      </c>
      <c r="H2661" s="15">
        <v>4</v>
      </c>
      <c r="I2661" s="163">
        <v>550</v>
      </c>
      <c r="J2661" s="15">
        <v>12</v>
      </c>
      <c r="K2661" s="163" t="s">
        <v>46</v>
      </c>
      <c r="L2661" s="15">
        <v>3</v>
      </c>
      <c r="M2661" s="193">
        <v>96.4</v>
      </c>
      <c r="N2661" s="173" t="s">
        <v>571</v>
      </c>
    </row>
    <row r="2662" spans="1:14" x14ac:dyDescent="0.25">
      <c r="A2662" s="63" t="s">
        <v>570</v>
      </c>
      <c r="B2662" s="71" t="s">
        <v>1543</v>
      </c>
      <c r="C2662" s="2">
        <v>4058075836280</v>
      </c>
      <c r="D2662" s="93"/>
      <c r="E2662" s="61"/>
      <c r="G2662" s="156" t="str">
        <f>HYPERLINK("https://ledvance.com/pt/product-datasheet/303840/288785","Ficha Técnica")</f>
        <v>Ficha Técnica</v>
      </c>
      <c r="H2662" s="15">
        <v>4</v>
      </c>
      <c r="I2662" s="163">
        <v>500</v>
      </c>
      <c r="J2662" s="15">
        <v>12</v>
      </c>
      <c r="K2662" s="163" t="s">
        <v>46</v>
      </c>
      <c r="L2662" s="15">
        <v>3</v>
      </c>
      <c r="M2662" s="193">
        <v>88.5</v>
      </c>
      <c r="N2662" s="173" t="s">
        <v>571</v>
      </c>
    </row>
    <row r="2663" spans="1:14" x14ac:dyDescent="0.25">
      <c r="A2663" s="63" t="s">
        <v>570</v>
      </c>
      <c r="B2663" s="71" t="s">
        <v>1544</v>
      </c>
      <c r="C2663" s="2">
        <v>4058075836303</v>
      </c>
      <c r="D2663" s="93"/>
      <c r="E2663" s="61"/>
      <c r="G2663" s="156" t="str">
        <f>HYPERLINK("https://ledvance.com/pt/product-datasheet/303840/288791","Ficha Técnica")</f>
        <v>Ficha Técnica</v>
      </c>
      <c r="H2663" s="15">
        <v>4</v>
      </c>
      <c r="I2663" s="163">
        <v>350</v>
      </c>
      <c r="J2663" s="15">
        <v>12</v>
      </c>
      <c r="K2663" s="163" t="s">
        <v>46</v>
      </c>
      <c r="L2663" s="15">
        <v>3</v>
      </c>
      <c r="M2663" s="193">
        <v>113.4</v>
      </c>
      <c r="N2663" s="173" t="s">
        <v>571</v>
      </c>
    </row>
    <row r="2664" spans="1:14" x14ac:dyDescent="0.25">
      <c r="A2664" s="63" t="s">
        <v>570</v>
      </c>
      <c r="B2664" s="71" t="s">
        <v>1545</v>
      </c>
      <c r="C2664" s="2">
        <v>4058075836327</v>
      </c>
      <c r="D2664" s="93"/>
      <c r="E2664" s="61"/>
      <c r="G2664" s="156" t="str">
        <f>HYPERLINK("https://ledvance.com/pt/product-datasheet/303840/288797","Ficha Técnica")</f>
        <v>Ficha Técnica</v>
      </c>
      <c r="H2664" s="15">
        <v>4</v>
      </c>
      <c r="I2664" s="163">
        <v>400</v>
      </c>
      <c r="J2664" s="15">
        <v>12</v>
      </c>
      <c r="K2664" s="163" t="s">
        <v>46</v>
      </c>
      <c r="L2664" s="15">
        <v>3</v>
      </c>
      <c r="M2664" s="193">
        <v>109.9</v>
      </c>
      <c r="N2664" s="173" t="s">
        <v>571</v>
      </c>
    </row>
    <row r="2665" spans="1:14" x14ac:dyDescent="0.25">
      <c r="A2665" s="63" t="s">
        <v>570</v>
      </c>
      <c r="B2665" s="71" t="s">
        <v>1546</v>
      </c>
      <c r="C2665" s="2">
        <v>4058075836341</v>
      </c>
      <c r="D2665" s="93"/>
      <c r="E2665" s="61"/>
      <c r="G2665" s="156" t="str">
        <f>HYPERLINK("https://ledvance.com/pt/product-datasheet/303840/288803","Ficha Técnica")</f>
        <v>Ficha Técnica</v>
      </c>
      <c r="H2665" s="15">
        <v>4</v>
      </c>
      <c r="I2665" s="163">
        <v>300</v>
      </c>
      <c r="J2665" s="15">
        <v>12</v>
      </c>
      <c r="K2665" s="163" t="s">
        <v>46</v>
      </c>
      <c r="L2665" s="15">
        <v>3</v>
      </c>
      <c r="M2665" s="193">
        <v>106.1</v>
      </c>
      <c r="N2665" s="173" t="s">
        <v>571</v>
      </c>
    </row>
    <row r="2666" spans="1:14" x14ac:dyDescent="0.25">
      <c r="A2666" s="66" t="s">
        <v>570</v>
      </c>
      <c r="B2666" s="73" t="s">
        <v>801</v>
      </c>
      <c r="C2666" s="52"/>
      <c r="D2666" s="65"/>
      <c r="E2666" s="92"/>
      <c r="F2666" s="12"/>
      <c r="G2666" s="157"/>
      <c r="H2666" s="12"/>
      <c r="I2666" s="62"/>
      <c r="J2666" s="27"/>
      <c r="K2666" s="62"/>
      <c r="L2666" s="12"/>
      <c r="M2666" s="191"/>
      <c r="N2666" s="130"/>
    </row>
    <row r="2667" spans="1:14" x14ac:dyDescent="0.25">
      <c r="A2667" s="63" t="s">
        <v>570</v>
      </c>
      <c r="B2667" s="71" t="s">
        <v>802</v>
      </c>
      <c r="C2667" s="2">
        <v>4099854059810</v>
      </c>
      <c r="D2667" s="93"/>
      <c r="E2667" s="61"/>
      <c r="F2667" s="25"/>
      <c r="G2667" s="156" t="str">
        <f>HYPERLINK("https://ledvance.com/pt/product-datasheet/251346/236831","Ficha Técnica")</f>
        <v>Ficha Técnica</v>
      </c>
      <c r="H2667" s="15">
        <v>10</v>
      </c>
      <c r="I2667" s="163">
        <v>230</v>
      </c>
      <c r="J2667" s="15" t="s">
        <v>1900</v>
      </c>
      <c r="K2667" s="163" t="s">
        <v>46</v>
      </c>
      <c r="L2667" s="15">
        <v>5</v>
      </c>
      <c r="M2667" s="193">
        <v>8.6999999999999993</v>
      </c>
      <c r="N2667" s="173" t="s">
        <v>571</v>
      </c>
    </row>
    <row r="2668" spans="1:14" x14ac:dyDescent="0.25">
      <c r="A2668" s="63" t="s">
        <v>570</v>
      </c>
      <c r="B2668" s="71" t="s">
        <v>803</v>
      </c>
      <c r="C2668" s="2">
        <v>4099854059834</v>
      </c>
      <c r="D2668" s="93"/>
      <c r="E2668" s="61"/>
      <c r="F2668" s="25"/>
      <c r="G2668" s="156" t="str">
        <f>HYPERLINK("https://ledvance.com/pt/product-datasheet/251346/236834","Ficha Técnica")</f>
        <v>Ficha Técnica</v>
      </c>
      <c r="H2668" s="15">
        <v>10</v>
      </c>
      <c r="I2668" s="163">
        <v>230</v>
      </c>
      <c r="J2668" s="15" t="s">
        <v>1900</v>
      </c>
      <c r="K2668" s="163" t="s">
        <v>46</v>
      </c>
      <c r="L2668" s="15">
        <v>5</v>
      </c>
      <c r="M2668" s="193">
        <v>8.6999999999999993</v>
      </c>
      <c r="N2668" s="173" t="s">
        <v>571</v>
      </c>
    </row>
    <row r="2669" spans="1:14" x14ac:dyDescent="0.25">
      <c r="A2669" s="63" t="s">
        <v>570</v>
      </c>
      <c r="B2669" s="71" t="s">
        <v>804</v>
      </c>
      <c r="C2669" s="2">
        <v>4099854059858</v>
      </c>
      <c r="D2669" s="93"/>
      <c r="E2669" s="61"/>
      <c r="F2669" s="25"/>
      <c r="G2669" s="156" t="str">
        <f>HYPERLINK("https://ledvance.com/pt/product-datasheet/251346/236837","Ficha Técnica")</f>
        <v>Ficha Técnica</v>
      </c>
      <c r="H2669" s="15">
        <v>10</v>
      </c>
      <c r="I2669" s="163">
        <v>230</v>
      </c>
      <c r="J2669" s="15" t="s">
        <v>1900</v>
      </c>
      <c r="K2669" s="163" t="s">
        <v>46</v>
      </c>
      <c r="L2669" s="15">
        <v>5</v>
      </c>
      <c r="M2669" s="193">
        <v>8.6999999999999993</v>
      </c>
      <c r="N2669" s="173" t="s">
        <v>571</v>
      </c>
    </row>
    <row r="2670" spans="1:14" x14ac:dyDescent="0.25">
      <c r="A2670" s="63" t="s">
        <v>570</v>
      </c>
      <c r="B2670" s="71" t="s">
        <v>1470</v>
      </c>
      <c r="C2670" s="2">
        <v>4099854058998</v>
      </c>
      <c r="D2670" s="93"/>
      <c r="E2670" s="61"/>
      <c r="F2670" s="25"/>
      <c r="G2670" s="156" t="str">
        <f>HYPERLINK("https://ledvance.com/pt/product-datasheet/251346/236819","Ficha Técnica")</f>
        <v>Ficha Técnica</v>
      </c>
      <c r="H2670" s="15">
        <v>10</v>
      </c>
      <c r="I2670" s="163">
        <v>350</v>
      </c>
      <c r="J2670" s="15">
        <v>6</v>
      </c>
      <c r="K2670" s="163" t="s">
        <v>46</v>
      </c>
      <c r="L2670" s="15">
        <v>5</v>
      </c>
      <c r="M2670" s="193">
        <v>10.3</v>
      </c>
      <c r="N2670" s="173" t="s">
        <v>571</v>
      </c>
    </row>
    <row r="2671" spans="1:14" x14ac:dyDescent="0.25">
      <c r="A2671" s="63" t="s">
        <v>570</v>
      </c>
      <c r="B2671" s="71" t="s">
        <v>1471</v>
      </c>
      <c r="C2671" s="2">
        <v>4099854059032</v>
      </c>
      <c r="D2671" s="93"/>
      <c r="E2671" s="61"/>
      <c r="F2671" s="25"/>
      <c r="G2671" s="156" t="str">
        <f>HYPERLINK("https://ledvance.com/pt/product-datasheet/251346/236822","Ficha Técnica")</f>
        <v>Ficha Técnica</v>
      </c>
      <c r="H2671" s="15">
        <v>10</v>
      </c>
      <c r="I2671" s="163">
        <v>350</v>
      </c>
      <c r="J2671" s="15">
        <v>6</v>
      </c>
      <c r="K2671" s="163" t="s">
        <v>46</v>
      </c>
      <c r="L2671" s="15">
        <v>5</v>
      </c>
      <c r="M2671" s="193">
        <v>10.3</v>
      </c>
      <c r="N2671" s="173" t="s">
        <v>571</v>
      </c>
    </row>
    <row r="2672" spans="1:14" x14ac:dyDescent="0.25">
      <c r="A2672" s="63" t="s">
        <v>570</v>
      </c>
      <c r="B2672" s="71" t="s">
        <v>1472</v>
      </c>
      <c r="C2672" s="2">
        <v>4099854059070</v>
      </c>
      <c r="D2672" s="93"/>
      <c r="E2672" s="61"/>
      <c r="F2672" s="25"/>
      <c r="G2672" s="156" t="str">
        <f>HYPERLINK("https://ledvance.com/pt/product-datasheet/251346/236828","Ficha Técnica")</f>
        <v>Ficha Técnica</v>
      </c>
      <c r="H2672" s="15">
        <v>10</v>
      </c>
      <c r="I2672" s="163">
        <v>350</v>
      </c>
      <c r="J2672" s="15">
        <v>6</v>
      </c>
      <c r="K2672" s="163" t="s">
        <v>46</v>
      </c>
      <c r="L2672" s="15">
        <v>5</v>
      </c>
      <c r="M2672" s="193">
        <v>10.3</v>
      </c>
      <c r="N2672" s="173" t="s">
        <v>571</v>
      </c>
    </row>
    <row r="2673" spans="1:14" x14ac:dyDescent="0.25">
      <c r="A2673" s="63" t="s">
        <v>570</v>
      </c>
      <c r="B2673" s="71" t="s">
        <v>3859</v>
      </c>
      <c r="C2673" s="2">
        <v>4099854235207</v>
      </c>
      <c r="D2673" s="95">
        <v>4099854070792</v>
      </c>
      <c r="E2673" s="96" t="s">
        <v>1286</v>
      </c>
      <c r="G2673" s="156" t="str">
        <f>HYPERLINK("https://ledvance.com/pt/product-datasheet/251346/287233","Ficha Técnica")</f>
        <v>Ficha Técnica</v>
      </c>
      <c r="H2673" s="15">
        <v>10</v>
      </c>
      <c r="I2673" s="163">
        <v>575</v>
      </c>
      <c r="J2673" s="15" t="s">
        <v>1907</v>
      </c>
      <c r="K2673" s="163" t="s">
        <v>46</v>
      </c>
      <c r="L2673" s="15">
        <v>5</v>
      </c>
      <c r="M2673" s="193">
        <v>16.7</v>
      </c>
      <c r="N2673" s="173" t="s">
        <v>571</v>
      </c>
    </row>
    <row r="2674" spans="1:14" x14ac:dyDescent="0.25">
      <c r="A2674" s="63" t="s">
        <v>570</v>
      </c>
      <c r="B2674" s="71" t="s">
        <v>3860</v>
      </c>
      <c r="C2674" s="2">
        <v>4099854235221</v>
      </c>
      <c r="D2674" s="95">
        <v>4099854070815</v>
      </c>
      <c r="E2674" s="96" t="s">
        <v>1287</v>
      </c>
      <c r="G2674" s="156" t="str">
        <f>HYPERLINK("https://ledvance.com/pt/product-datasheet/251346/287238","Ficha Técnica")</f>
        <v>Ficha Técnica</v>
      </c>
      <c r="H2674" s="15">
        <v>10</v>
      </c>
      <c r="I2674" s="163">
        <v>575</v>
      </c>
      <c r="J2674" s="15" t="s">
        <v>1907</v>
      </c>
      <c r="K2674" s="163" t="s">
        <v>46</v>
      </c>
      <c r="L2674" s="15">
        <v>5</v>
      </c>
      <c r="M2674" s="193">
        <v>16.7</v>
      </c>
      <c r="N2674" s="173" t="s">
        <v>571</v>
      </c>
    </row>
    <row r="2675" spans="1:14" x14ac:dyDescent="0.25">
      <c r="A2675" s="63" t="s">
        <v>570</v>
      </c>
      <c r="B2675" s="71" t="s">
        <v>3861</v>
      </c>
      <c r="C2675" s="2">
        <v>4099854235245</v>
      </c>
      <c r="D2675" s="95">
        <v>4099854070839</v>
      </c>
      <c r="E2675" s="96" t="s">
        <v>1288</v>
      </c>
      <c r="G2675" s="156" t="str">
        <f>HYPERLINK("https://ledvance.com/pt/product-datasheet/251346/287242","Ficha Técnica")</f>
        <v>Ficha Técnica</v>
      </c>
      <c r="H2675" s="15">
        <v>10</v>
      </c>
      <c r="I2675" s="163">
        <v>575</v>
      </c>
      <c r="J2675" s="15" t="s">
        <v>1907</v>
      </c>
      <c r="K2675" s="163" t="s">
        <v>46</v>
      </c>
      <c r="L2675" s="15">
        <v>5</v>
      </c>
      <c r="M2675" s="193">
        <v>16.7</v>
      </c>
      <c r="N2675" s="173" t="s">
        <v>571</v>
      </c>
    </row>
    <row r="2676" spans="1:14" x14ac:dyDescent="0.25">
      <c r="A2676" s="66" t="s">
        <v>570</v>
      </c>
      <c r="B2676" s="73" t="s">
        <v>805</v>
      </c>
      <c r="C2676" s="52"/>
      <c r="D2676" s="65"/>
      <c r="E2676" s="92"/>
      <c r="F2676" s="12"/>
      <c r="G2676" s="157"/>
      <c r="H2676" s="12"/>
      <c r="I2676" s="62"/>
      <c r="J2676" s="27"/>
      <c r="K2676" s="62"/>
      <c r="L2676" s="12"/>
      <c r="M2676" s="191"/>
      <c r="N2676" s="130"/>
    </row>
    <row r="2677" spans="1:14" x14ac:dyDescent="0.25">
      <c r="A2677" s="63" t="s">
        <v>570</v>
      </c>
      <c r="B2677" s="71" t="s">
        <v>806</v>
      </c>
      <c r="C2677" s="2">
        <v>4058075757868</v>
      </c>
      <c r="D2677" s="93"/>
      <c r="E2677" s="61"/>
      <c r="F2677" s="25"/>
      <c r="G2677" s="156" t="str">
        <f>HYPERLINK("https://ledvance.com/pt/product-datasheet/219176/202922","Ficha Técnica")</f>
        <v>Ficha Técnica</v>
      </c>
      <c r="H2677" s="15">
        <v>10</v>
      </c>
      <c r="I2677" s="163">
        <v>350</v>
      </c>
      <c r="J2677" s="15" t="s">
        <v>1909</v>
      </c>
      <c r="K2677" s="163" t="s">
        <v>46</v>
      </c>
      <c r="L2677" s="15">
        <v>3</v>
      </c>
      <c r="M2677" s="193">
        <v>2.7</v>
      </c>
      <c r="N2677" s="173" t="s">
        <v>571</v>
      </c>
    </row>
    <row r="2678" spans="1:14" x14ac:dyDescent="0.25">
      <c r="A2678" s="63" t="s">
        <v>570</v>
      </c>
      <c r="B2678" s="71" t="s">
        <v>807</v>
      </c>
      <c r="C2678" s="2">
        <v>4058075757882</v>
      </c>
      <c r="D2678" s="93"/>
      <c r="E2678" s="61"/>
      <c r="F2678" s="25"/>
      <c r="G2678" s="156" t="str">
        <f>HYPERLINK("https://ledvance.com/pt/product-datasheet/219176/202925","Ficha Técnica")</f>
        <v>Ficha Técnica</v>
      </c>
      <c r="H2678" s="15">
        <v>10</v>
      </c>
      <c r="I2678" s="163">
        <v>350</v>
      </c>
      <c r="J2678" s="15" t="s">
        <v>1909</v>
      </c>
      <c r="K2678" s="163" t="s">
        <v>46</v>
      </c>
      <c r="L2678" s="15">
        <v>3</v>
      </c>
      <c r="M2678" s="193">
        <v>2.7</v>
      </c>
      <c r="N2678" s="173" t="s">
        <v>571</v>
      </c>
    </row>
    <row r="2679" spans="1:14" x14ac:dyDescent="0.25">
      <c r="A2679" s="66" t="s">
        <v>570</v>
      </c>
      <c r="B2679" s="73" t="s">
        <v>808</v>
      </c>
      <c r="C2679" s="52"/>
      <c r="D2679" s="65"/>
      <c r="E2679" s="92"/>
      <c r="F2679" s="12"/>
      <c r="G2679" s="157"/>
      <c r="H2679" s="12"/>
      <c r="I2679" s="62"/>
      <c r="J2679" s="27"/>
      <c r="K2679" s="62"/>
      <c r="L2679" s="12"/>
      <c r="M2679" s="191"/>
      <c r="N2679" s="130"/>
    </row>
    <row r="2680" spans="1:14" x14ac:dyDescent="0.25">
      <c r="A2680" s="63" t="s">
        <v>570</v>
      </c>
      <c r="B2680" s="71" t="s">
        <v>1574</v>
      </c>
      <c r="C2680" s="2">
        <v>4099854059872</v>
      </c>
      <c r="D2680" s="93"/>
      <c r="E2680" s="61"/>
      <c r="F2680" s="25"/>
      <c r="G2680" s="156" t="str">
        <f>HYPERLINK("https://ledvance.com/pt/product-datasheet/250861/236946","Ficha Técnica")</f>
        <v>Ficha Técnica</v>
      </c>
      <c r="H2680" s="15">
        <v>10</v>
      </c>
      <c r="I2680" s="163">
        <v>230</v>
      </c>
      <c r="J2680" s="15" t="s">
        <v>1900</v>
      </c>
      <c r="K2680" s="163" t="s">
        <v>46</v>
      </c>
      <c r="L2680" s="15">
        <v>5</v>
      </c>
      <c r="M2680" s="193">
        <v>6.2</v>
      </c>
      <c r="N2680" s="173" t="s">
        <v>571</v>
      </c>
    </row>
    <row r="2681" spans="1:14" x14ac:dyDescent="0.25">
      <c r="A2681" s="63" t="s">
        <v>570</v>
      </c>
      <c r="B2681" s="71" t="s">
        <v>1575</v>
      </c>
      <c r="C2681" s="2">
        <v>4099854059896</v>
      </c>
      <c r="D2681" s="93"/>
      <c r="E2681" s="61"/>
      <c r="F2681" s="25"/>
      <c r="G2681" s="156" t="str">
        <f>HYPERLINK("https://ledvance.com/pt/product-datasheet/250861/236955","Ficha Técnica")</f>
        <v>Ficha Técnica</v>
      </c>
      <c r="H2681" s="15">
        <v>10</v>
      </c>
      <c r="I2681" s="163">
        <v>230</v>
      </c>
      <c r="J2681" s="15" t="s">
        <v>1900</v>
      </c>
      <c r="K2681" s="163" t="s">
        <v>46</v>
      </c>
      <c r="L2681" s="15">
        <v>5</v>
      </c>
      <c r="M2681" s="193">
        <v>6.2</v>
      </c>
      <c r="N2681" s="173" t="s">
        <v>571</v>
      </c>
    </row>
    <row r="2682" spans="1:14" x14ac:dyDescent="0.25">
      <c r="A2682" s="63" t="s">
        <v>570</v>
      </c>
      <c r="B2682" s="71" t="s">
        <v>1576</v>
      </c>
      <c r="C2682" s="2">
        <v>4099854059919</v>
      </c>
      <c r="D2682" s="93"/>
      <c r="E2682" s="61"/>
      <c r="F2682" s="25"/>
      <c r="G2682" s="156" t="str">
        <f>HYPERLINK("https://ledvance.com/pt/product-datasheet/250861/236958","Ficha Técnica")</f>
        <v>Ficha Técnica</v>
      </c>
      <c r="H2682" s="15">
        <v>10</v>
      </c>
      <c r="I2682" s="163">
        <v>230</v>
      </c>
      <c r="J2682" s="15" t="s">
        <v>1900</v>
      </c>
      <c r="K2682" s="163" t="s">
        <v>46</v>
      </c>
      <c r="L2682" s="15">
        <v>5</v>
      </c>
      <c r="M2682" s="193">
        <v>6.2</v>
      </c>
      <c r="N2682" s="173" t="s">
        <v>571</v>
      </c>
    </row>
    <row r="2683" spans="1:14" x14ac:dyDescent="0.25">
      <c r="A2683" s="63" t="s">
        <v>570</v>
      </c>
      <c r="B2683" s="71" t="s">
        <v>1577</v>
      </c>
      <c r="C2683" s="2">
        <v>4099854044984</v>
      </c>
      <c r="D2683" s="93"/>
      <c r="E2683" s="61"/>
      <c r="F2683" s="25"/>
      <c r="G2683" s="156" t="str">
        <f>HYPERLINK("https://ledvance.com/pt/product-datasheet/250861/235151","Ficha Técnica")</f>
        <v>Ficha Técnica</v>
      </c>
      <c r="H2683" s="15">
        <v>10</v>
      </c>
      <c r="I2683" s="163">
        <v>350</v>
      </c>
      <c r="J2683" s="15" t="s">
        <v>1903</v>
      </c>
      <c r="K2683" s="163" t="s">
        <v>46</v>
      </c>
      <c r="L2683" s="15">
        <v>5</v>
      </c>
      <c r="M2683" s="193">
        <v>6.3</v>
      </c>
      <c r="N2683" s="173" t="s">
        <v>571</v>
      </c>
    </row>
    <row r="2684" spans="1:14" x14ac:dyDescent="0.25">
      <c r="A2684" s="63" t="s">
        <v>570</v>
      </c>
      <c r="B2684" s="71" t="s">
        <v>1578</v>
      </c>
      <c r="C2684" s="2">
        <v>4099854045462</v>
      </c>
      <c r="D2684" s="93"/>
      <c r="E2684" s="61"/>
      <c r="F2684" s="25"/>
      <c r="G2684" s="156" t="str">
        <f>HYPERLINK("https://ledvance.com/pt/product-datasheet/250861/235163","Ficha Técnica")</f>
        <v>Ficha Técnica</v>
      </c>
      <c r="H2684" s="15">
        <v>10</v>
      </c>
      <c r="I2684" s="163">
        <v>350</v>
      </c>
      <c r="J2684" s="15" t="s">
        <v>1903</v>
      </c>
      <c r="K2684" s="163" t="s">
        <v>46</v>
      </c>
      <c r="L2684" s="15">
        <v>5</v>
      </c>
      <c r="M2684" s="193">
        <v>6.3</v>
      </c>
      <c r="N2684" s="173" t="s">
        <v>571</v>
      </c>
    </row>
    <row r="2685" spans="1:14" x14ac:dyDescent="0.25">
      <c r="A2685" s="63" t="s">
        <v>570</v>
      </c>
      <c r="B2685" s="71" t="s">
        <v>1579</v>
      </c>
      <c r="C2685" s="2">
        <v>4099854045509</v>
      </c>
      <c r="D2685" s="93"/>
      <c r="E2685" s="61"/>
      <c r="F2685" s="25"/>
      <c r="G2685" s="156" t="str">
        <f>HYPERLINK("https://ledvance.com/pt/product-datasheet/250861/235169","Ficha Técnica")</f>
        <v>Ficha Técnica</v>
      </c>
      <c r="H2685" s="15">
        <v>10</v>
      </c>
      <c r="I2685" s="163">
        <v>350</v>
      </c>
      <c r="J2685" s="15" t="s">
        <v>1903</v>
      </c>
      <c r="K2685" s="163" t="s">
        <v>46</v>
      </c>
      <c r="L2685" s="15">
        <v>5</v>
      </c>
      <c r="M2685" s="193">
        <v>6.3</v>
      </c>
      <c r="N2685" s="173" t="s">
        <v>571</v>
      </c>
    </row>
    <row r="2686" spans="1:14" x14ac:dyDescent="0.25">
      <c r="A2686" s="63" t="s">
        <v>570</v>
      </c>
      <c r="B2686" s="71" t="s">
        <v>3862</v>
      </c>
      <c r="C2686" s="2">
        <v>4099854234866</v>
      </c>
      <c r="D2686" s="95">
        <v>4099854059117</v>
      </c>
      <c r="E2686" s="96" t="s">
        <v>1289</v>
      </c>
      <c r="G2686" s="156" t="str">
        <f>HYPERLINK("https://ledvance.com/pt/product-datasheet/250861/287162","Ficha Técnica")</f>
        <v>Ficha Técnica</v>
      </c>
      <c r="H2686" s="15">
        <v>10</v>
      </c>
      <c r="I2686" s="163">
        <v>575</v>
      </c>
      <c r="J2686" s="15">
        <v>7</v>
      </c>
      <c r="K2686" s="163" t="s">
        <v>46</v>
      </c>
      <c r="L2686" s="15">
        <v>5</v>
      </c>
      <c r="M2686" s="193">
        <v>11</v>
      </c>
      <c r="N2686" s="173" t="s">
        <v>571</v>
      </c>
    </row>
    <row r="2687" spans="1:14" x14ac:dyDescent="0.25">
      <c r="A2687" s="63" t="s">
        <v>570</v>
      </c>
      <c r="B2687" s="71" t="s">
        <v>3863</v>
      </c>
      <c r="C2687" s="2">
        <v>4099854234880</v>
      </c>
      <c r="D2687" s="95">
        <v>4099854058578</v>
      </c>
      <c r="E2687" s="96" t="s">
        <v>1290</v>
      </c>
      <c r="G2687" s="156" t="str">
        <f>HYPERLINK("https://ledvance.com/pt/product-datasheet/250861/287168","Ficha Técnica")</f>
        <v>Ficha Técnica</v>
      </c>
      <c r="H2687" s="15">
        <v>10</v>
      </c>
      <c r="I2687" s="163">
        <v>575</v>
      </c>
      <c r="J2687" s="15">
        <v>7</v>
      </c>
      <c r="K2687" s="163" t="s">
        <v>46</v>
      </c>
      <c r="L2687" s="15">
        <v>5</v>
      </c>
      <c r="M2687" s="193">
        <v>11</v>
      </c>
      <c r="N2687" s="173" t="s">
        <v>571</v>
      </c>
    </row>
    <row r="2688" spans="1:14" x14ac:dyDescent="0.25">
      <c r="A2688" s="63" t="s">
        <v>570</v>
      </c>
      <c r="B2688" s="71" t="s">
        <v>3864</v>
      </c>
      <c r="C2688" s="2">
        <v>4099854234903</v>
      </c>
      <c r="D2688" s="95">
        <v>4099854058738</v>
      </c>
      <c r="E2688" s="96" t="s">
        <v>1291</v>
      </c>
      <c r="G2688" s="156" t="str">
        <f>HYPERLINK("https://ledvance.com/pt/product-datasheet/250861/287171","Ficha Técnica")</f>
        <v>Ficha Técnica</v>
      </c>
      <c r="H2688" s="15">
        <v>10</v>
      </c>
      <c r="I2688" s="163">
        <v>575</v>
      </c>
      <c r="J2688" s="15">
        <v>7</v>
      </c>
      <c r="K2688" s="163" t="s">
        <v>46</v>
      </c>
      <c r="L2688" s="15">
        <v>5</v>
      </c>
      <c r="M2688" s="193">
        <v>11</v>
      </c>
      <c r="N2688" s="173" t="s">
        <v>571</v>
      </c>
    </row>
    <row r="2689" spans="1:14" x14ac:dyDescent="0.25">
      <c r="A2689" s="63" t="s">
        <v>570</v>
      </c>
      <c r="B2689" s="71" t="s">
        <v>3865</v>
      </c>
      <c r="C2689" s="2">
        <v>4099854241734</v>
      </c>
      <c r="D2689" s="95">
        <v>4099854058752</v>
      </c>
      <c r="E2689" s="96" t="s">
        <v>1289</v>
      </c>
      <c r="G2689" s="156" t="str">
        <f>HYPERLINK("https://ledvance.com/pt/product-datasheet/250861/287178","Ficha Técnica")</f>
        <v>Ficha Técnica</v>
      </c>
      <c r="H2689" s="15">
        <v>10</v>
      </c>
      <c r="I2689" s="163">
        <v>575</v>
      </c>
      <c r="J2689" s="15">
        <v>7</v>
      </c>
      <c r="K2689" s="163" t="s">
        <v>46</v>
      </c>
      <c r="L2689" s="15">
        <v>5</v>
      </c>
      <c r="M2689" s="193">
        <v>11</v>
      </c>
      <c r="N2689" s="173" t="s">
        <v>571</v>
      </c>
    </row>
    <row r="2690" spans="1:14" x14ac:dyDescent="0.25">
      <c r="A2690" s="63" t="s">
        <v>570</v>
      </c>
      <c r="B2690" s="71" t="s">
        <v>3866</v>
      </c>
      <c r="C2690" s="2">
        <v>4099854241857</v>
      </c>
      <c r="D2690" s="95">
        <v>4099854058943</v>
      </c>
      <c r="E2690" s="96" t="s">
        <v>1291</v>
      </c>
      <c r="G2690" s="156" t="str">
        <f>HYPERLINK("https://ledvance.com/pt/product-datasheet/250861/287190","Ficha Técnica")</f>
        <v>Ficha Técnica</v>
      </c>
      <c r="H2690" s="15">
        <v>10</v>
      </c>
      <c r="I2690" s="163">
        <v>575</v>
      </c>
      <c r="J2690" s="15">
        <v>7</v>
      </c>
      <c r="K2690" s="163" t="s">
        <v>46</v>
      </c>
      <c r="L2690" s="15">
        <v>5</v>
      </c>
      <c r="M2690" s="193">
        <v>11</v>
      </c>
      <c r="N2690" s="173" t="s">
        <v>571</v>
      </c>
    </row>
    <row r="2691" spans="1:14" x14ac:dyDescent="0.25">
      <c r="A2691" s="63" t="s">
        <v>570</v>
      </c>
      <c r="B2691" s="71" t="s">
        <v>3867</v>
      </c>
      <c r="C2691" s="2">
        <v>4099854241789</v>
      </c>
      <c r="D2691" s="95">
        <v>4099854058868</v>
      </c>
      <c r="E2691" s="96" t="s">
        <v>1290</v>
      </c>
      <c r="G2691" s="156" t="str">
        <f>HYPERLINK("https://ledvance.com/pt/product-datasheet/250861/287185","Ficha Técnica")</f>
        <v>Ficha Técnica</v>
      </c>
      <c r="H2691" s="15">
        <v>10</v>
      </c>
      <c r="I2691" s="163">
        <v>575</v>
      </c>
      <c r="J2691" s="15">
        <v>7</v>
      </c>
      <c r="K2691" s="163" t="s">
        <v>46</v>
      </c>
      <c r="L2691" s="15">
        <v>5</v>
      </c>
      <c r="M2691" s="193">
        <v>11</v>
      </c>
      <c r="N2691" s="173" t="s">
        <v>571</v>
      </c>
    </row>
    <row r="2692" spans="1:14" x14ac:dyDescent="0.25">
      <c r="A2692" s="63" t="s">
        <v>570</v>
      </c>
      <c r="B2692" s="71" t="s">
        <v>3868</v>
      </c>
      <c r="C2692" s="2">
        <v>4099854241901</v>
      </c>
      <c r="D2692" s="95">
        <v>4099854059018</v>
      </c>
      <c r="E2692" s="96" t="s">
        <v>1292</v>
      </c>
      <c r="G2692" s="156" t="str">
        <f>HYPERLINK("https://ledvance.com/pt/product-datasheet/250861/287195","Ficha Técnica")</f>
        <v>Ficha Técnica</v>
      </c>
      <c r="H2692" s="15">
        <v>10</v>
      </c>
      <c r="I2692" s="163">
        <v>650</v>
      </c>
      <c r="J2692" s="15">
        <v>7</v>
      </c>
      <c r="K2692" s="163" t="s">
        <v>46</v>
      </c>
      <c r="L2692" s="15">
        <v>5</v>
      </c>
      <c r="M2692" s="193">
        <v>11</v>
      </c>
      <c r="N2692" s="173" t="s">
        <v>571</v>
      </c>
    </row>
    <row r="2693" spans="1:14" x14ac:dyDescent="0.25">
      <c r="A2693" s="63" t="s">
        <v>570</v>
      </c>
      <c r="B2693" s="71" t="s">
        <v>3869</v>
      </c>
      <c r="C2693" s="2">
        <v>4099854241932</v>
      </c>
      <c r="D2693" s="95">
        <v>4099854059094</v>
      </c>
      <c r="E2693" s="96" t="s">
        <v>1293</v>
      </c>
      <c r="G2693" s="156" t="str">
        <f>HYPERLINK("https://ledvance.com/pt/product-datasheet/250861/287202","Ficha Técnica")</f>
        <v>Ficha Técnica</v>
      </c>
      <c r="H2693" s="15">
        <v>10</v>
      </c>
      <c r="I2693" s="163">
        <v>650</v>
      </c>
      <c r="J2693" s="15">
        <v>7</v>
      </c>
      <c r="K2693" s="163" t="s">
        <v>46</v>
      </c>
      <c r="L2693" s="15">
        <v>5</v>
      </c>
      <c r="M2693" s="193">
        <v>11</v>
      </c>
      <c r="N2693" s="173" t="s">
        <v>571</v>
      </c>
    </row>
    <row r="2694" spans="1:14" x14ac:dyDescent="0.25">
      <c r="A2694" s="63" t="s">
        <v>570</v>
      </c>
      <c r="B2694" s="71" t="s">
        <v>3870</v>
      </c>
      <c r="C2694" s="2">
        <v>4099854241956</v>
      </c>
      <c r="D2694" s="95">
        <v>4099854059131</v>
      </c>
      <c r="E2694" s="96" t="s">
        <v>1294</v>
      </c>
      <c r="G2694" s="156" t="str">
        <f>HYPERLINK("https://ledvance.com/pt/product-datasheet/250861/287206","Ficha Técnica")</f>
        <v>Ficha Técnica</v>
      </c>
      <c r="H2694" s="15">
        <v>10</v>
      </c>
      <c r="I2694" s="163">
        <v>650</v>
      </c>
      <c r="J2694" s="15">
        <v>7</v>
      </c>
      <c r="K2694" s="163" t="s">
        <v>46</v>
      </c>
      <c r="L2694" s="15">
        <v>5</v>
      </c>
      <c r="M2694" s="193">
        <v>11</v>
      </c>
      <c r="N2694" s="173" t="s">
        <v>571</v>
      </c>
    </row>
    <row r="2695" spans="1:14" x14ac:dyDescent="0.25">
      <c r="A2695" s="63" t="s">
        <v>570</v>
      </c>
      <c r="B2695" s="71" t="s">
        <v>3871</v>
      </c>
      <c r="C2695" s="2">
        <v>4099854234927</v>
      </c>
      <c r="D2695" s="95">
        <v>4099854070853</v>
      </c>
      <c r="E2695" s="96" t="s">
        <v>1295</v>
      </c>
      <c r="G2695" s="156" t="str">
        <f>HYPERLINK("https://ledvance.com/pt/product-datasheet/250995/287099","Ficha Técnica")</f>
        <v>Ficha Técnica</v>
      </c>
      <c r="H2695" s="15">
        <v>10</v>
      </c>
      <c r="I2695" s="163">
        <v>750</v>
      </c>
      <c r="J2695" s="15">
        <v>8</v>
      </c>
      <c r="K2695" s="163" t="s">
        <v>46</v>
      </c>
      <c r="L2695" s="15">
        <v>5</v>
      </c>
      <c r="M2695" s="193">
        <v>16.7</v>
      </c>
      <c r="N2695" s="173" t="s">
        <v>571</v>
      </c>
    </row>
    <row r="2696" spans="1:14" x14ac:dyDescent="0.25">
      <c r="A2696" s="63" t="s">
        <v>570</v>
      </c>
      <c r="B2696" s="71" t="s">
        <v>3872</v>
      </c>
      <c r="C2696" s="2">
        <v>4099854234941</v>
      </c>
      <c r="D2696" s="95">
        <v>4099854070877</v>
      </c>
      <c r="E2696" s="96" t="s">
        <v>1296</v>
      </c>
      <c r="G2696" s="156" t="str">
        <f>HYPERLINK("https://ledvance.com/pt/product-datasheet/250995/287102","Ficha Técnica")</f>
        <v>Ficha Técnica</v>
      </c>
      <c r="H2696" s="15">
        <v>10</v>
      </c>
      <c r="I2696" s="163">
        <v>750</v>
      </c>
      <c r="J2696" s="15">
        <v>8</v>
      </c>
      <c r="K2696" s="163" t="s">
        <v>46</v>
      </c>
      <c r="L2696" s="15">
        <v>5</v>
      </c>
      <c r="M2696" s="193">
        <v>16.7</v>
      </c>
      <c r="N2696" s="173" t="s">
        <v>571</v>
      </c>
    </row>
    <row r="2697" spans="1:14" x14ac:dyDescent="0.25">
      <c r="A2697" s="63" t="s">
        <v>570</v>
      </c>
      <c r="B2697" s="71" t="s">
        <v>3873</v>
      </c>
      <c r="C2697" s="2">
        <v>4099854234965</v>
      </c>
      <c r="D2697" s="95">
        <v>4099854070891</v>
      </c>
      <c r="E2697" s="96" t="s">
        <v>1297</v>
      </c>
      <c r="G2697" s="156" t="str">
        <f>HYPERLINK("https://ledvance.com/pt/product-datasheet/250995/287106","Ficha Técnica")</f>
        <v>Ficha Técnica</v>
      </c>
      <c r="H2697" s="15">
        <v>10</v>
      </c>
      <c r="I2697" s="163">
        <v>750</v>
      </c>
      <c r="J2697" s="15">
        <v>7</v>
      </c>
      <c r="K2697" s="163" t="s">
        <v>46</v>
      </c>
      <c r="L2697" s="15">
        <v>5</v>
      </c>
      <c r="M2697" s="193">
        <v>16.7</v>
      </c>
      <c r="N2697" s="173" t="s">
        <v>571</v>
      </c>
    </row>
    <row r="2698" spans="1:14" x14ac:dyDescent="0.25">
      <c r="A2698" s="66" t="s">
        <v>570</v>
      </c>
      <c r="B2698" s="73" t="s">
        <v>809</v>
      </c>
      <c r="C2698" s="52"/>
      <c r="D2698" s="65"/>
      <c r="E2698" s="92"/>
      <c r="F2698" s="12"/>
      <c r="G2698" s="157"/>
      <c r="H2698" s="12"/>
      <c r="I2698" s="62"/>
      <c r="J2698" s="27"/>
      <c r="K2698" s="62"/>
      <c r="L2698" s="12"/>
      <c r="M2698" s="191"/>
      <c r="N2698" s="130"/>
    </row>
    <row r="2699" spans="1:14" x14ac:dyDescent="0.25">
      <c r="A2699" s="63" t="s">
        <v>570</v>
      </c>
      <c r="B2699" s="71" t="s">
        <v>1580</v>
      </c>
      <c r="C2699" s="2">
        <v>4099854044687</v>
      </c>
      <c r="D2699" s="93"/>
      <c r="E2699" s="61"/>
      <c r="F2699" s="25"/>
      <c r="G2699" s="156" t="str">
        <f>HYPERLINK("https://ledvance.com/pt/product-datasheet/250854/234984","Ficha Técnica")</f>
        <v>Ficha Técnica</v>
      </c>
      <c r="H2699" s="15">
        <v>10</v>
      </c>
      <c r="I2699" s="163">
        <v>230</v>
      </c>
      <c r="J2699" s="15" t="s">
        <v>1910</v>
      </c>
      <c r="K2699" s="163" t="s">
        <v>46</v>
      </c>
      <c r="L2699" s="15">
        <v>4</v>
      </c>
      <c r="M2699" s="193">
        <v>4</v>
      </c>
      <c r="N2699" s="173" t="s">
        <v>571</v>
      </c>
    </row>
    <row r="2700" spans="1:14" x14ac:dyDescent="0.25">
      <c r="A2700" s="63" t="s">
        <v>570</v>
      </c>
      <c r="B2700" s="71" t="s">
        <v>1581</v>
      </c>
      <c r="C2700" s="2">
        <v>4099854044731</v>
      </c>
      <c r="D2700" s="93"/>
      <c r="E2700" s="61"/>
      <c r="F2700" s="25"/>
      <c r="G2700" s="156" t="str">
        <f>HYPERLINK("https://ledvance.com/pt/product-datasheet/250854/235026","Ficha Técnica")</f>
        <v>Ficha Técnica</v>
      </c>
      <c r="H2700" s="15">
        <v>10</v>
      </c>
      <c r="I2700" s="163">
        <v>230</v>
      </c>
      <c r="J2700" s="15" t="s">
        <v>1910</v>
      </c>
      <c r="K2700" s="163" t="s">
        <v>46</v>
      </c>
      <c r="L2700" s="15">
        <v>4</v>
      </c>
      <c r="M2700" s="193">
        <v>4</v>
      </c>
      <c r="N2700" s="173" t="s">
        <v>571</v>
      </c>
    </row>
    <row r="2701" spans="1:14" x14ac:dyDescent="0.25">
      <c r="A2701" s="63" t="s">
        <v>570</v>
      </c>
      <c r="B2701" s="71" t="s">
        <v>1582</v>
      </c>
      <c r="C2701" s="2">
        <v>4099854044755</v>
      </c>
      <c r="D2701" s="93"/>
      <c r="E2701" s="61"/>
      <c r="F2701" s="25"/>
      <c r="G2701" s="156" t="str">
        <f>HYPERLINK("https://ledvance.com/pt/product-datasheet/250854/235031","Ficha Técnica")</f>
        <v>Ficha Técnica</v>
      </c>
      <c r="H2701" s="15">
        <v>10</v>
      </c>
      <c r="I2701" s="163">
        <v>230</v>
      </c>
      <c r="J2701" s="15" t="s">
        <v>1910</v>
      </c>
      <c r="K2701" s="163" t="s">
        <v>46</v>
      </c>
      <c r="L2701" s="15">
        <v>4</v>
      </c>
      <c r="M2701" s="193">
        <v>4</v>
      </c>
      <c r="N2701" s="173" t="s">
        <v>571</v>
      </c>
    </row>
    <row r="2702" spans="1:14" x14ac:dyDescent="0.25">
      <c r="A2702" s="63" t="s">
        <v>570</v>
      </c>
      <c r="B2702" s="71" t="s">
        <v>1583</v>
      </c>
      <c r="C2702" s="2">
        <v>4099854045660</v>
      </c>
      <c r="D2702" s="93"/>
      <c r="E2702" s="61"/>
      <c r="F2702" s="25"/>
      <c r="G2702" s="156" t="str">
        <f>HYPERLINK("https://ledvance.com/pt/product-datasheet/250854/235089","Ficha Técnica")</f>
        <v>Ficha Técnica</v>
      </c>
      <c r="H2702" s="15">
        <v>10</v>
      </c>
      <c r="I2702" s="163">
        <v>350</v>
      </c>
      <c r="J2702" s="15" t="s">
        <v>1911</v>
      </c>
      <c r="K2702" s="163" t="s">
        <v>46</v>
      </c>
      <c r="L2702" s="15">
        <v>4</v>
      </c>
      <c r="M2702" s="193">
        <v>4.4000000000000004</v>
      </c>
      <c r="N2702" s="173" t="s">
        <v>571</v>
      </c>
    </row>
    <row r="2703" spans="1:14" x14ac:dyDescent="0.25">
      <c r="A2703" s="63" t="s">
        <v>570</v>
      </c>
      <c r="B2703" s="71" t="s">
        <v>1584</v>
      </c>
      <c r="C2703" s="2">
        <v>4099854067891</v>
      </c>
      <c r="D2703" s="93"/>
      <c r="E2703" s="61"/>
      <c r="F2703" s="25"/>
      <c r="G2703" s="156" t="str">
        <f>HYPERLINK("https://ledvance.com/pt/product-datasheet/250854/238468","Ficha Técnica")</f>
        <v>Ficha Técnica</v>
      </c>
      <c r="H2703" s="15">
        <v>10</v>
      </c>
      <c r="I2703" s="163">
        <v>350</v>
      </c>
      <c r="J2703" s="15" t="s">
        <v>1911</v>
      </c>
      <c r="K2703" s="163" t="s">
        <v>46</v>
      </c>
      <c r="L2703" s="15">
        <v>4</v>
      </c>
      <c r="M2703" s="193">
        <v>4.4000000000000004</v>
      </c>
      <c r="N2703" s="173" t="s">
        <v>571</v>
      </c>
    </row>
    <row r="2704" spans="1:14" x14ac:dyDescent="0.25">
      <c r="A2704" s="63" t="s">
        <v>570</v>
      </c>
      <c r="B2704" s="71" t="s">
        <v>1585</v>
      </c>
      <c r="C2704" s="2">
        <v>4099854068010</v>
      </c>
      <c r="D2704" s="93"/>
      <c r="E2704" s="61"/>
      <c r="F2704" s="25"/>
      <c r="G2704" s="156" t="str">
        <f>HYPERLINK("https://ledvance.com/pt/product-datasheet/250854/238495","Ficha Técnica")</f>
        <v>Ficha Técnica</v>
      </c>
      <c r="H2704" s="15">
        <v>10</v>
      </c>
      <c r="I2704" s="163">
        <v>350</v>
      </c>
      <c r="J2704" s="15" t="s">
        <v>1911</v>
      </c>
      <c r="K2704" s="163" t="s">
        <v>46</v>
      </c>
      <c r="L2704" s="15">
        <v>4</v>
      </c>
      <c r="M2704" s="193">
        <v>4.4000000000000004</v>
      </c>
      <c r="N2704" s="173" t="s">
        <v>571</v>
      </c>
    </row>
    <row r="2705" spans="1:14" x14ac:dyDescent="0.25">
      <c r="A2705" s="63" t="s">
        <v>570</v>
      </c>
      <c r="B2705" s="71" t="s">
        <v>1586</v>
      </c>
      <c r="C2705" s="2">
        <v>4099854045165</v>
      </c>
      <c r="D2705" s="93"/>
      <c r="E2705" s="61"/>
      <c r="F2705" s="25"/>
      <c r="G2705" s="156" t="str">
        <f>HYPERLINK("https://ledvance.com/pt/product-datasheet/250854/235125","Ficha Técnica")</f>
        <v>Ficha Técnica</v>
      </c>
      <c r="H2705" s="15">
        <v>10</v>
      </c>
      <c r="I2705" s="163">
        <v>350</v>
      </c>
      <c r="J2705" s="15" t="s">
        <v>1911</v>
      </c>
      <c r="K2705" s="163" t="s">
        <v>46</v>
      </c>
      <c r="L2705" s="15">
        <v>4</v>
      </c>
      <c r="M2705" s="193">
        <v>4.4000000000000004</v>
      </c>
      <c r="N2705" s="173" t="s">
        <v>571</v>
      </c>
    </row>
    <row r="2706" spans="1:14" x14ac:dyDescent="0.25">
      <c r="A2706" s="63" t="s">
        <v>570</v>
      </c>
      <c r="B2706" s="71" t="s">
        <v>1587</v>
      </c>
      <c r="C2706" s="2">
        <v>4099854045189</v>
      </c>
      <c r="D2706" s="93"/>
      <c r="E2706" s="61"/>
      <c r="F2706" s="25"/>
      <c r="G2706" s="156" t="str">
        <f>HYPERLINK("https://ledvance.com/pt/product-datasheet/250854/235128","Ficha Técnica")</f>
        <v>Ficha Técnica</v>
      </c>
      <c r="H2706" s="15">
        <v>10</v>
      </c>
      <c r="I2706" s="163">
        <v>350</v>
      </c>
      <c r="J2706" s="15" t="s">
        <v>1911</v>
      </c>
      <c r="K2706" s="163" t="s">
        <v>46</v>
      </c>
      <c r="L2706" s="15">
        <v>4</v>
      </c>
      <c r="M2706" s="193">
        <v>4.4000000000000004</v>
      </c>
      <c r="N2706" s="173" t="s">
        <v>571</v>
      </c>
    </row>
    <row r="2707" spans="1:14" x14ac:dyDescent="0.25">
      <c r="A2707" s="63" t="s">
        <v>570</v>
      </c>
      <c r="B2707" s="71" t="s">
        <v>1588</v>
      </c>
      <c r="C2707" s="2">
        <v>4099854044588</v>
      </c>
      <c r="D2707" s="93"/>
      <c r="E2707" s="61"/>
      <c r="F2707" s="25"/>
      <c r="G2707" s="156" t="str">
        <f>HYPERLINK("https://ledvance.com/pt/product-datasheet/250854/235131","Ficha Técnica")</f>
        <v>Ficha Técnica</v>
      </c>
      <c r="H2707" s="15">
        <v>10</v>
      </c>
      <c r="I2707" s="163">
        <v>350</v>
      </c>
      <c r="J2707" s="15" t="s">
        <v>1911</v>
      </c>
      <c r="K2707" s="163" t="s">
        <v>46</v>
      </c>
      <c r="L2707" s="15">
        <v>4</v>
      </c>
      <c r="M2707" s="193">
        <v>4.4000000000000004</v>
      </c>
      <c r="N2707" s="173" t="s">
        <v>571</v>
      </c>
    </row>
    <row r="2708" spans="1:14" x14ac:dyDescent="0.25">
      <c r="A2708" s="63" t="s">
        <v>570</v>
      </c>
      <c r="B2708" s="71" t="s">
        <v>1589</v>
      </c>
      <c r="C2708" s="2">
        <v>4099854054785</v>
      </c>
      <c r="D2708" s="93"/>
      <c r="E2708" s="61"/>
      <c r="F2708" s="25"/>
      <c r="G2708" s="156" t="str">
        <f>HYPERLINK("https://ledvance.com/pt/product-datasheet/250854/236408","Ficha Técnica")</f>
        <v>Ficha Técnica</v>
      </c>
      <c r="H2708" s="15">
        <v>10</v>
      </c>
      <c r="I2708" s="163">
        <v>575</v>
      </c>
      <c r="J2708" s="15" t="s">
        <v>1912</v>
      </c>
      <c r="K2708" s="163" t="s">
        <v>46</v>
      </c>
      <c r="L2708" s="15">
        <v>3</v>
      </c>
      <c r="M2708" s="193">
        <v>5.7</v>
      </c>
      <c r="N2708" s="173" t="s">
        <v>571</v>
      </c>
    </row>
    <row r="2709" spans="1:14" x14ac:dyDescent="0.25">
      <c r="A2709" s="63" t="s">
        <v>570</v>
      </c>
      <c r="B2709" s="71" t="s">
        <v>1593</v>
      </c>
      <c r="C2709" s="2">
        <v>4099854054808</v>
      </c>
      <c r="D2709" s="93"/>
      <c r="E2709" s="61"/>
      <c r="F2709" s="25"/>
      <c r="G2709" s="156" t="str">
        <f>HYPERLINK("https://ledvance.com/pt/product-datasheet/250854/236417","Ficha Técnica")</f>
        <v>Ficha Técnica</v>
      </c>
      <c r="H2709" s="15">
        <v>10</v>
      </c>
      <c r="I2709" s="163">
        <v>575</v>
      </c>
      <c r="J2709" s="15" t="s">
        <v>1912</v>
      </c>
      <c r="K2709" s="163" t="s">
        <v>46</v>
      </c>
      <c r="L2709" s="15">
        <v>3</v>
      </c>
      <c r="M2709" s="193">
        <v>5.7</v>
      </c>
      <c r="N2709" s="173" t="s">
        <v>571</v>
      </c>
    </row>
    <row r="2710" spans="1:14" x14ac:dyDescent="0.25">
      <c r="A2710" s="63" t="s">
        <v>570</v>
      </c>
      <c r="B2710" s="71" t="s">
        <v>1594</v>
      </c>
      <c r="C2710" s="2">
        <v>4099854054860</v>
      </c>
      <c r="D2710" s="93"/>
      <c r="E2710" s="61"/>
      <c r="F2710" s="25"/>
      <c r="G2710" s="156" t="str">
        <f>HYPERLINK("https://ledvance.com/pt/product-datasheet/250854/236426","Ficha Técnica")</f>
        <v>Ficha Técnica</v>
      </c>
      <c r="H2710" s="15">
        <v>10</v>
      </c>
      <c r="I2710" s="163">
        <v>575</v>
      </c>
      <c r="J2710" s="15" t="s">
        <v>1912</v>
      </c>
      <c r="K2710" s="163" t="s">
        <v>46</v>
      </c>
      <c r="L2710" s="15">
        <v>3</v>
      </c>
      <c r="M2710" s="193">
        <v>5.7</v>
      </c>
      <c r="N2710" s="173" t="s">
        <v>571</v>
      </c>
    </row>
    <row r="2711" spans="1:14" x14ac:dyDescent="0.25">
      <c r="A2711" s="63" t="s">
        <v>570</v>
      </c>
      <c r="B2711" s="71" t="s">
        <v>1590</v>
      </c>
      <c r="C2711" s="2">
        <v>4099854055034</v>
      </c>
      <c r="D2711" s="93"/>
      <c r="E2711" s="61"/>
      <c r="F2711" s="25"/>
      <c r="G2711" s="156" t="str">
        <f>HYPERLINK("https://ledvance.com/pt/product-datasheet/250854/236462","Ficha Técnica")</f>
        <v>Ficha Técnica</v>
      </c>
      <c r="H2711" s="15">
        <v>10</v>
      </c>
      <c r="I2711" s="163">
        <v>620</v>
      </c>
      <c r="J2711" s="15" t="s">
        <v>1912</v>
      </c>
      <c r="K2711" s="163" t="s">
        <v>46</v>
      </c>
      <c r="L2711" s="15">
        <v>3</v>
      </c>
      <c r="M2711" s="193">
        <v>5.7</v>
      </c>
      <c r="N2711" s="173" t="s">
        <v>571</v>
      </c>
    </row>
    <row r="2712" spans="1:14" x14ac:dyDescent="0.25">
      <c r="A2712" s="63" t="s">
        <v>570</v>
      </c>
      <c r="B2712" s="71" t="s">
        <v>1591</v>
      </c>
      <c r="C2712" s="2">
        <v>4099854055058</v>
      </c>
      <c r="D2712" s="93"/>
      <c r="E2712" s="61"/>
      <c r="F2712" s="25"/>
      <c r="G2712" s="156" t="str">
        <f>HYPERLINK("https://ledvance.com/pt/product-datasheet/250854/236468","Ficha Técnica")</f>
        <v>Ficha Técnica</v>
      </c>
      <c r="H2712" s="15">
        <v>10</v>
      </c>
      <c r="I2712" s="163">
        <v>620</v>
      </c>
      <c r="J2712" s="15" t="s">
        <v>1912</v>
      </c>
      <c r="K2712" s="163" t="s">
        <v>46</v>
      </c>
      <c r="L2712" s="15">
        <v>4</v>
      </c>
      <c r="M2712" s="193">
        <v>5.7</v>
      </c>
      <c r="N2712" s="173" t="s">
        <v>571</v>
      </c>
    </row>
    <row r="2713" spans="1:14" x14ac:dyDescent="0.25">
      <c r="A2713" s="63" t="s">
        <v>570</v>
      </c>
      <c r="B2713" s="71" t="s">
        <v>1592</v>
      </c>
      <c r="C2713" s="2">
        <v>4099854055133</v>
      </c>
      <c r="D2713" s="93"/>
      <c r="E2713" s="61"/>
      <c r="F2713" s="25"/>
      <c r="G2713" s="156" t="str">
        <f>HYPERLINK("https://ledvance.com/pt/product-datasheet/250854/236477","Ficha Técnica")</f>
        <v>Ficha Técnica</v>
      </c>
      <c r="H2713" s="15">
        <v>10</v>
      </c>
      <c r="I2713" s="163">
        <v>620</v>
      </c>
      <c r="J2713" s="15" t="s">
        <v>1912</v>
      </c>
      <c r="K2713" s="163" t="s">
        <v>46</v>
      </c>
      <c r="L2713" s="15">
        <v>4</v>
      </c>
      <c r="M2713" s="193">
        <v>5.7</v>
      </c>
      <c r="N2713" s="173" t="s">
        <v>571</v>
      </c>
    </row>
    <row r="2714" spans="1:14" x14ac:dyDescent="0.25">
      <c r="A2714" s="63" t="s">
        <v>570</v>
      </c>
      <c r="B2714" s="71" t="s">
        <v>1595</v>
      </c>
      <c r="C2714" s="2">
        <v>4099854055928</v>
      </c>
      <c r="D2714" s="93"/>
      <c r="E2714" s="61"/>
      <c r="F2714" s="25"/>
      <c r="G2714" s="156" t="str">
        <f>HYPERLINK("https://ledvance.com/pt/product-datasheet/250854/236441","Ficha Técnica")</f>
        <v>Ficha Técnica</v>
      </c>
      <c r="H2714" s="15">
        <v>10</v>
      </c>
      <c r="I2714" s="163">
        <v>575</v>
      </c>
      <c r="J2714" s="15" t="s">
        <v>1912</v>
      </c>
      <c r="K2714" s="163" t="s">
        <v>46</v>
      </c>
      <c r="L2714" s="15">
        <v>4</v>
      </c>
      <c r="M2714" s="193">
        <v>5.7</v>
      </c>
      <c r="N2714" s="173" t="s">
        <v>571</v>
      </c>
    </row>
    <row r="2715" spans="1:14" x14ac:dyDescent="0.25">
      <c r="A2715" s="63" t="s">
        <v>570</v>
      </c>
      <c r="B2715" s="71" t="s">
        <v>1596</v>
      </c>
      <c r="C2715" s="2">
        <v>4099854054891</v>
      </c>
      <c r="D2715" s="93"/>
      <c r="E2715" s="61"/>
      <c r="F2715" s="25"/>
      <c r="G2715" s="156" t="str">
        <f>HYPERLINK("https://ledvance.com/pt/product-datasheet/250854/236444","Ficha Técnica")</f>
        <v>Ficha Técnica</v>
      </c>
      <c r="H2715" s="15">
        <v>10</v>
      </c>
      <c r="I2715" s="163">
        <v>575</v>
      </c>
      <c r="J2715" s="15" t="s">
        <v>1912</v>
      </c>
      <c r="K2715" s="163" t="s">
        <v>46</v>
      </c>
      <c r="L2715" s="15">
        <v>3</v>
      </c>
      <c r="M2715" s="193">
        <v>5.7</v>
      </c>
      <c r="N2715" s="173" t="s">
        <v>571</v>
      </c>
    </row>
    <row r="2716" spans="1:14" x14ac:dyDescent="0.25">
      <c r="A2716" s="63" t="s">
        <v>570</v>
      </c>
      <c r="B2716" s="71" t="s">
        <v>1597</v>
      </c>
      <c r="C2716" s="2">
        <v>4099854054976</v>
      </c>
      <c r="D2716" s="93"/>
      <c r="E2716" s="61"/>
      <c r="F2716" s="25"/>
      <c r="G2716" s="156" t="str">
        <f>HYPERLINK("https://ledvance.com/pt/product-datasheet/250854/236453","Ficha Técnica")</f>
        <v>Ficha Técnica</v>
      </c>
      <c r="H2716" s="15">
        <v>10</v>
      </c>
      <c r="I2716" s="163">
        <v>575</v>
      </c>
      <c r="J2716" s="15" t="s">
        <v>1912</v>
      </c>
      <c r="K2716" s="163" t="s">
        <v>46</v>
      </c>
      <c r="L2716" s="15">
        <v>3</v>
      </c>
      <c r="M2716" s="193">
        <v>5.7</v>
      </c>
      <c r="N2716" s="173" t="s">
        <v>571</v>
      </c>
    </row>
    <row r="2717" spans="1:14" x14ac:dyDescent="0.25">
      <c r="A2717" s="63" t="s">
        <v>570</v>
      </c>
      <c r="B2717" s="71" t="s">
        <v>1598</v>
      </c>
      <c r="C2717" s="2">
        <v>4099854234989</v>
      </c>
      <c r="D2717" s="95">
        <v>4099854070952</v>
      </c>
      <c r="E2717" s="96" t="s">
        <v>1298</v>
      </c>
      <c r="G2717" s="156" t="str">
        <f>HYPERLINK("https://ledvance.com/pt/product-datasheet/250854/287110","Ficha Técnica")</f>
        <v>Ficha Técnica</v>
      </c>
      <c r="H2717" s="15">
        <v>10</v>
      </c>
      <c r="I2717" s="163">
        <v>750</v>
      </c>
      <c r="J2717" s="15">
        <v>8</v>
      </c>
      <c r="K2717" s="163" t="s">
        <v>46</v>
      </c>
      <c r="L2717" s="15">
        <v>4</v>
      </c>
      <c r="M2717" s="193">
        <v>15.7</v>
      </c>
      <c r="N2717" s="173" t="s">
        <v>571</v>
      </c>
    </row>
    <row r="2718" spans="1:14" x14ac:dyDescent="0.25">
      <c r="A2718" s="63" t="s">
        <v>570</v>
      </c>
      <c r="B2718" s="71" t="s">
        <v>1599</v>
      </c>
      <c r="C2718" s="2">
        <v>4099854235009</v>
      </c>
      <c r="D2718" s="95">
        <v>4099854070990</v>
      </c>
      <c r="E2718" s="96" t="s">
        <v>1299</v>
      </c>
      <c r="G2718" s="156" t="str">
        <f>HYPERLINK("https://ledvance.com/pt/product-datasheet/250854/287114","Ficha Técnica")</f>
        <v>Ficha Técnica</v>
      </c>
      <c r="H2718" s="15">
        <v>10</v>
      </c>
      <c r="I2718" s="163">
        <v>750</v>
      </c>
      <c r="J2718" s="15">
        <v>8</v>
      </c>
      <c r="K2718" s="163" t="s">
        <v>46</v>
      </c>
      <c r="L2718" s="15">
        <v>4</v>
      </c>
      <c r="M2718" s="193">
        <v>15.7</v>
      </c>
      <c r="N2718" s="173" t="s">
        <v>571</v>
      </c>
    </row>
    <row r="2719" spans="1:14" x14ac:dyDescent="0.25">
      <c r="A2719" s="63" t="s">
        <v>570</v>
      </c>
      <c r="B2719" s="71" t="s">
        <v>1600</v>
      </c>
      <c r="C2719" s="2">
        <v>4099854235023</v>
      </c>
      <c r="D2719" s="95">
        <v>4099854071058</v>
      </c>
      <c r="E2719" s="96" t="s">
        <v>1300</v>
      </c>
      <c r="G2719" s="156" t="str">
        <f>HYPERLINK("https://ledvance.com/pt/product-datasheet/250854/287118","Ficha Técnica")</f>
        <v>Ficha Técnica</v>
      </c>
      <c r="H2719" s="15">
        <v>10</v>
      </c>
      <c r="I2719" s="163">
        <v>750</v>
      </c>
      <c r="J2719" s="15">
        <v>7</v>
      </c>
      <c r="K2719" s="163" t="s">
        <v>46</v>
      </c>
      <c r="L2719" s="15">
        <v>4</v>
      </c>
      <c r="M2719" s="193">
        <v>15.7</v>
      </c>
      <c r="N2719" s="173" t="s">
        <v>571</v>
      </c>
    </row>
    <row r="2720" spans="1:14" x14ac:dyDescent="0.25">
      <c r="A2720" s="66" t="s">
        <v>570</v>
      </c>
      <c r="B2720" s="73" t="s">
        <v>810</v>
      </c>
      <c r="C2720" s="52"/>
      <c r="D2720" s="65"/>
      <c r="E2720" s="92"/>
      <c r="F2720" s="12"/>
      <c r="G2720" s="157"/>
      <c r="H2720" s="12"/>
      <c r="I2720" s="62"/>
      <c r="J2720" s="27"/>
      <c r="K2720" s="62"/>
      <c r="L2720" s="12"/>
      <c r="M2720" s="191"/>
      <c r="N2720" s="130"/>
    </row>
    <row r="2721" spans="1:14" x14ac:dyDescent="0.25">
      <c r="A2721" s="63" t="s">
        <v>570</v>
      </c>
      <c r="B2721" s="71" t="s">
        <v>1613</v>
      </c>
      <c r="C2721" s="2">
        <v>4099854044649</v>
      </c>
      <c r="D2721" s="118"/>
      <c r="E2721" s="119"/>
      <c r="F2721" s="25"/>
      <c r="G2721" s="156" t="str">
        <f>HYPERLINK("https://ledvance.com/pt/product-datasheet/250859/234978","Ficha Técnica")</f>
        <v>Ficha Técnica</v>
      </c>
      <c r="H2721" s="15">
        <v>10</v>
      </c>
      <c r="I2721" s="163">
        <v>230</v>
      </c>
      <c r="J2721" s="15" t="s">
        <v>1910</v>
      </c>
      <c r="K2721" s="163" t="s">
        <v>46</v>
      </c>
      <c r="L2721" s="15">
        <v>2</v>
      </c>
      <c r="M2721" s="193">
        <v>3.8</v>
      </c>
      <c r="N2721" s="173" t="s">
        <v>571</v>
      </c>
    </row>
    <row r="2722" spans="1:14" x14ac:dyDescent="0.25">
      <c r="A2722" s="63" t="s">
        <v>570</v>
      </c>
      <c r="B2722" s="71" t="s">
        <v>1601</v>
      </c>
      <c r="C2722" s="2">
        <v>4099854045646</v>
      </c>
      <c r="D2722" s="118"/>
      <c r="E2722" s="119"/>
      <c r="F2722" s="25"/>
      <c r="G2722" s="156" t="str">
        <f>HYPERLINK("https://ledvance.com/pt/product-datasheet/250859/235086","Ficha Técnica")</f>
        <v>Ficha Técnica</v>
      </c>
      <c r="H2722" s="15">
        <v>10</v>
      </c>
      <c r="I2722" s="163">
        <v>350</v>
      </c>
      <c r="J2722" s="15" t="s">
        <v>1911</v>
      </c>
      <c r="K2722" s="163" t="s">
        <v>46</v>
      </c>
      <c r="L2722" s="15">
        <v>2</v>
      </c>
      <c r="M2722" s="193">
        <v>4.2</v>
      </c>
      <c r="N2722" s="173" t="s">
        <v>571</v>
      </c>
    </row>
    <row r="2723" spans="1:14" x14ac:dyDescent="0.25">
      <c r="A2723" s="63" t="s">
        <v>570</v>
      </c>
      <c r="B2723" s="71" t="s">
        <v>1602</v>
      </c>
      <c r="C2723" s="2">
        <v>4099854067914</v>
      </c>
      <c r="D2723" s="118"/>
      <c r="E2723" s="119"/>
      <c r="F2723" s="25"/>
      <c r="G2723" s="156" t="str">
        <f>HYPERLINK("https://ledvance.com/pt/product-datasheet/250859/238471","Ficha Técnica")</f>
        <v>Ficha Técnica</v>
      </c>
      <c r="H2723" s="15">
        <v>10</v>
      </c>
      <c r="I2723" s="163">
        <v>350</v>
      </c>
      <c r="J2723" s="15" t="s">
        <v>1911</v>
      </c>
      <c r="K2723" s="163" t="s">
        <v>46</v>
      </c>
      <c r="L2723" s="15">
        <v>2</v>
      </c>
      <c r="M2723" s="193">
        <v>4.2</v>
      </c>
      <c r="N2723" s="173" t="s">
        <v>571</v>
      </c>
    </row>
    <row r="2724" spans="1:14" x14ac:dyDescent="0.25">
      <c r="A2724" s="63" t="s">
        <v>570</v>
      </c>
      <c r="B2724" s="71" t="s">
        <v>1603</v>
      </c>
      <c r="C2724" s="2">
        <v>4099854067976</v>
      </c>
      <c r="D2724" s="118"/>
      <c r="E2724" s="119"/>
      <c r="F2724" s="25"/>
      <c r="G2724" s="156" t="str">
        <f>HYPERLINK("https://ledvance.com/pt/product-datasheet/250859/238489","Ficha Técnica")</f>
        <v>Ficha Técnica</v>
      </c>
      <c r="H2724" s="15">
        <v>10</v>
      </c>
      <c r="I2724" s="163">
        <v>350</v>
      </c>
      <c r="J2724" s="15" t="s">
        <v>1911</v>
      </c>
      <c r="K2724" s="163" t="s">
        <v>46</v>
      </c>
      <c r="L2724" s="15">
        <v>2</v>
      </c>
      <c r="M2724" s="193">
        <v>4.2</v>
      </c>
      <c r="N2724" s="173" t="s">
        <v>571</v>
      </c>
    </row>
    <row r="2725" spans="1:14" x14ac:dyDescent="0.25">
      <c r="A2725" s="63" t="s">
        <v>570</v>
      </c>
      <c r="B2725" s="71" t="s">
        <v>1604</v>
      </c>
      <c r="C2725" s="2">
        <v>4099854045080</v>
      </c>
      <c r="D2725" s="118"/>
      <c r="E2725" s="119"/>
      <c r="F2725" s="25"/>
      <c r="G2725" s="156" t="str">
        <f>HYPERLINK("https://ledvance.com/pt/product-datasheet/250859/235113","Ficha Técnica")</f>
        <v>Ficha Técnica</v>
      </c>
      <c r="H2725" s="15">
        <v>10</v>
      </c>
      <c r="I2725" s="163">
        <v>350</v>
      </c>
      <c r="J2725" s="15" t="s">
        <v>1911</v>
      </c>
      <c r="K2725" s="163" t="s">
        <v>46</v>
      </c>
      <c r="L2725" s="15">
        <v>2</v>
      </c>
      <c r="M2725" s="193">
        <v>4.2</v>
      </c>
      <c r="N2725" s="173" t="s">
        <v>571</v>
      </c>
    </row>
    <row r="2726" spans="1:14" x14ac:dyDescent="0.25">
      <c r="A2726" s="63" t="s">
        <v>570</v>
      </c>
      <c r="B2726" s="71" t="s">
        <v>1605</v>
      </c>
      <c r="C2726" s="2">
        <v>4099854054822</v>
      </c>
      <c r="D2726" s="118"/>
      <c r="E2726" s="119"/>
      <c r="F2726" s="25"/>
      <c r="G2726" s="156" t="str">
        <f>HYPERLINK("https://ledvance.com/pt/product-datasheet/250859/236420","Ficha Técnica")</f>
        <v>Ficha Técnica</v>
      </c>
      <c r="H2726" s="15">
        <v>10</v>
      </c>
      <c r="I2726" s="163">
        <v>575</v>
      </c>
      <c r="J2726" s="15" t="s">
        <v>1912</v>
      </c>
      <c r="K2726" s="163" t="s">
        <v>46</v>
      </c>
      <c r="L2726" s="15">
        <v>3</v>
      </c>
      <c r="M2726" s="193">
        <v>5.0999999999999996</v>
      </c>
      <c r="N2726" s="173" t="s">
        <v>571</v>
      </c>
    </row>
    <row r="2727" spans="1:14" x14ac:dyDescent="0.25">
      <c r="A2727" s="63" t="s">
        <v>570</v>
      </c>
      <c r="B2727" s="71" t="s">
        <v>1606</v>
      </c>
      <c r="C2727" s="2">
        <v>4099854055331</v>
      </c>
      <c r="D2727" s="118"/>
      <c r="E2727" s="119"/>
      <c r="F2727" s="25"/>
      <c r="G2727" s="156" t="str">
        <f>HYPERLINK("https://ledvance.com/pt/product-datasheet/250859/236429","Ficha Técnica")</f>
        <v>Ficha Técnica</v>
      </c>
      <c r="H2727" s="15">
        <v>10</v>
      </c>
      <c r="I2727" s="163">
        <v>575</v>
      </c>
      <c r="J2727" s="15" t="s">
        <v>1912</v>
      </c>
      <c r="K2727" s="163" t="s">
        <v>46</v>
      </c>
      <c r="L2727" s="15">
        <v>3</v>
      </c>
      <c r="M2727" s="193">
        <v>5.0999999999999996</v>
      </c>
      <c r="N2727" s="173" t="s">
        <v>571</v>
      </c>
    </row>
    <row r="2728" spans="1:14" x14ac:dyDescent="0.25">
      <c r="A2728" s="63" t="s">
        <v>570</v>
      </c>
      <c r="B2728" s="71" t="s">
        <v>1607</v>
      </c>
      <c r="C2728" s="2">
        <v>4099854055379</v>
      </c>
      <c r="D2728" s="118"/>
      <c r="E2728" s="119"/>
      <c r="F2728" s="25"/>
      <c r="G2728" s="156" t="str">
        <f>HYPERLINK("https://ledvance.com/pt/product-datasheet/250859/236489","Ficha Técnica")</f>
        <v>Ficha Técnica</v>
      </c>
      <c r="H2728" s="15">
        <v>10</v>
      </c>
      <c r="I2728" s="163">
        <v>575</v>
      </c>
      <c r="J2728" s="15" t="s">
        <v>1912</v>
      </c>
      <c r="K2728" s="163" t="s">
        <v>46</v>
      </c>
      <c r="L2728" s="15">
        <v>3</v>
      </c>
      <c r="M2728" s="193">
        <v>5.0999999999999996</v>
      </c>
      <c r="N2728" s="173" t="s">
        <v>571</v>
      </c>
    </row>
    <row r="2729" spans="1:14" x14ac:dyDescent="0.25">
      <c r="A2729" s="63" t="s">
        <v>570</v>
      </c>
      <c r="B2729" s="71" t="s">
        <v>1608</v>
      </c>
      <c r="C2729" s="2">
        <v>4099854054938</v>
      </c>
      <c r="D2729" s="118"/>
      <c r="E2729" s="119"/>
      <c r="F2729" s="25"/>
      <c r="G2729" s="156" t="str">
        <f>HYPERLINK("https://ledvance.com/pt/product-datasheet/250859/236447","Ficha Técnica")</f>
        <v>Ficha Técnica</v>
      </c>
      <c r="H2729" s="15">
        <v>10</v>
      </c>
      <c r="I2729" s="163">
        <v>575</v>
      </c>
      <c r="J2729" s="15" t="s">
        <v>1912</v>
      </c>
      <c r="K2729" s="163" t="s">
        <v>46</v>
      </c>
      <c r="L2729" s="15">
        <v>3</v>
      </c>
      <c r="M2729" s="193">
        <v>5.0999999999999996</v>
      </c>
      <c r="N2729" s="173" t="s">
        <v>571</v>
      </c>
    </row>
    <row r="2730" spans="1:14" x14ac:dyDescent="0.25">
      <c r="A2730" s="63" t="s">
        <v>570</v>
      </c>
      <c r="B2730" s="71" t="s">
        <v>1609</v>
      </c>
      <c r="C2730" s="2">
        <v>4099854054990</v>
      </c>
      <c r="D2730" s="118"/>
      <c r="E2730" s="119"/>
      <c r="F2730" s="25"/>
      <c r="G2730" s="156" t="str">
        <f>HYPERLINK("https://ledvance.com/pt/product-datasheet/250859/236456","Ficha Técnica")</f>
        <v>Ficha Técnica</v>
      </c>
      <c r="H2730" s="15">
        <v>10</v>
      </c>
      <c r="I2730" s="163">
        <v>575</v>
      </c>
      <c r="J2730" s="15" t="s">
        <v>1912</v>
      </c>
      <c r="K2730" s="163" t="s">
        <v>46</v>
      </c>
      <c r="L2730" s="15">
        <v>3</v>
      </c>
      <c r="M2730" s="193">
        <v>5.0999999999999996</v>
      </c>
      <c r="N2730" s="173" t="s">
        <v>571</v>
      </c>
    </row>
    <row r="2731" spans="1:14" x14ac:dyDescent="0.25">
      <c r="A2731" s="63" t="s">
        <v>570</v>
      </c>
      <c r="B2731" s="71" t="s">
        <v>1610</v>
      </c>
      <c r="C2731" s="2">
        <v>4099854055096</v>
      </c>
      <c r="D2731" s="118"/>
      <c r="E2731" s="119"/>
      <c r="F2731" s="25"/>
      <c r="G2731" s="156" t="str">
        <f>HYPERLINK("https://ledvance.com/pt/product-datasheet/250859/236471","Ficha Técnica")</f>
        <v>Ficha Técnica</v>
      </c>
      <c r="H2731" s="15">
        <v>10</v>
      </c>
      <c r="I2731" s="163">
        <v>620</v>
      </c>
      <c r="J2731" s="15" t="s">
        <v>1912</v>
      </c>
      <c r="K2731" s="163" t="s">
        <v>46</v>
      </c>
      <c r="L2731" s="15">
        <v>3</v>
      </c>
      <c r="M2731" s="193">
        <v>5.0999999999999996</v>
      </c>
      <c r="N2731" s="173" t="s">
        <v>571</v>
      </c>
    </row>
    <row r="2732" spans="1:14" x14ac:dyDescent="0.25">
      <c r="A2732" s="63" t="s">
        <v>570</v>
      </c>
      <c r="B2732" s="71" t="s">
        <v>1611</v>
      </c>
      <c r="C2732" s="2">
        <v>4099854055157</v>
      </c>
      <c r="D2732" s="118"/>
      <c r="E2732" s="119"/>
      <c r="F2732" s="25"/>
      <c r="G2732" s="156" t="str">
        <f>HYPERLINK("https://ledvance.com/pt/product-datasheet/250859/236480","Ficha Técnica")</f>
        <v>Ficha Técnica</v>
      </c>
      <c r="H2732" s="15">
        <v>10</v>
      </c>
      <c r="I2732" s="163">
        <v>620</v>
      </c>
      <c r="J2732" s="15" t="s">
        <v>1912</v>
      </c>
      <c r="K2732" s="163" t="s">
        <v>46</v>
      </c>
      <c r="L2732" s="15">
        <v>3</v>
      </c>
      <c r="M2732" s="193">
        <v>5.0999999999999996</v>
      </c>
      <c r="N2732" s="173" t="s">
        <v>571</v>
      </c>
    </row>
    <row r="2733" spans="1:14" x14ac:dyDescent="0.25">
      <c r="A2733" s="63" t="s">
        <v>570</v>
      </c>
      <c r="B2733" s="71" t="s">
        <v>1612</v>
      </c>
      <c r="C2733" s="2">
        <v>4099854055256</v>
      </c>
      <c r="D2733" s="118"/>
      <c r="E2733" s="119"/>
      <c r="F2733" s="25"/>
      <c r="G2733" s="156" t="str">
        <f>HYPERLINK("https://ledvance.com/pt/product-datasheet/250859/236498","Ficha Técnica")</f>
        <v>Ficha Técnica</v>
      </c>
      <c r="H2733" s="15">
        <v>10</v>
      </c>
      <c r="I2733" s="163">
        <v>620</v>
      </c>
      <c r="J2733" s="15" t="s">
        <v>1912</v>
      </c>
      <c r="K2733" s="163" t="s">
        <v>46</v>
      </c>
      <c r="L2733" s="15">
        <v>3</v>
      </c>
      <c r="M2733" s="193">
        <v>5.0999999999999996</v>
      </c>
      <c r="N2733" s="173" t="s">
        <v>571</v>
      </c>
    </row>
    <row r="2734" spans="1:14" x14ac:dyDescent="0.25">
      <c r="A2734" s="66" t="s">
        <v>570</v>
      </c>
      <c r="B2734" s="73" t="s">
        <v>811</v>
      </c>
      <c r="C2734" s="52"/>
      <c r="D2734" s="65"/>
      <c r="E2734" s="92"/>
      <c r="F2734" s="12"/>
      <c r="G2734" s="157"/>
      <c r="H2734" s="12"/>
      <c r="I2734" s="62"/>
      <c r="J2734" s="27"/>
      <c r="K2734" s="62"/>
      <c r="L2734" s="12"/>
      <c r="M2734" s="191"/>
      <c r="N2734" s="130"/>
    </row>
    <row r="2735" spans="1:14" x14ac:dyDescent="0.25">
      <c r="A2735" s="63" t="s">
        <v>570</v>
      </c>
      <c r="B2735" s="71" t="s">
        <v>1479</v>
      </c>
      <c r="C2735" s="2">
        <v>4099854068980</v>
      </c>
      <c r="D2735" s="118"/>
      <c r="E2735" s="119"/>
      <c r="F2735" s="25"/>
      <c r="G2735" s="156" t="str">
        <f>HYPERLINK("https://ledvance.com/pt/product-datasheet/251515/238871","Ficha Técnica")</f>
        <v>Ficha Técnica</v>
      </c>
      <c r="H2735" s="15">
        <v>10</v>
      </c>
      <c r="I2735" s="163">
        <v>470</v>
      </c>
      <c r="J2735" s="15">
        <v>4</v>
      </c>
      <c r="K2735" s="163" t="s">
        <v>46</v>
      </c>
      <c r="L2735" s="15">
        <v>2</v>
      </c>
      <c r="M2735" s="193">
        <v>4</v>
      </c>
      <c r="N2735" s="173" t="s">
        <v>571</v>
      </c>
    </row>
    <row r="2736" spans="1:14" x14ac:dyDescent="0.25">
      <c r="A2736" s="63" t="s">
        <v>570</v>
      </c>
      <c r="B2736" s="71" t="s">
        <v>1480</v>
      </c>
      <c r="C2736" s="2">
        <v>4099854049484</v>
      </c>
      <c r="D2736" s="118"/>
      <c r="E2736" s="119"/>
      <c r="F2736" s="25"/>
      <c r="G2736" s="156" t="str">
        <f>HYPERLINK("https://ledvance.com/pt/product-datasheet/251775/235295","Ficha Técnica")</f>
        <v>Ficha Técnica</v>
      </c>
      <c r="H2736" s="15">
        <v>10</v>
      </c>
      <c r="I2736" s="163">
        <v>470</v>
      </c>
      <c r="J2736" s="15" t="s">
        <v>1905</v>
      </c>
      <c r="K2736" s="163" t="s">
        <v>46</v>
      </c>
      <c r="L2736" s="15">
        <v>2</v>
      </c>
      <c r="M2736" s="193">
        <v>2.8</v>
      </c>
      <c r="N2736" s="173" t="s">
        <v>571</v>
      </c>
    </row>
    <row r="2737" spans="1:14" x14ac:dyDescent="0.25">
      <c r="A2737" s="63" t="s">
        <v>570</v>
      </c>
      <c r="B2737" s="71" t="s">
        <v>1481</v>
      </c>
      <c r="C2737" s="2">
        <v>4099854049583</v>
      </c>
      <c r="D2737" s="118"/>
      <c r="E2737" s="119"/>
      <c r="F2737" s="25"/>
      <c r="G2737" s="156" t="str">
        <f>HYPERLINK("https://ledvance.com/pt/product-datasheet/251775/235321","Ficha Técnica")</f>
        <v>Ficha Técnica</v>
      </c>
      <c r="H2737" s="15">
        <v>10</v>
      </c>
      <c r="I2737" s="163">
        <v>470</v>
      </c>
      <c r="J2737" s="15" t="s">
        <v>1905</v>
      </c>
      <c r="K2737" s="163" t="s">
        <v>46</v>
      </c>
      <c r="L2737" s="15">
        <v>2</v>
      </c>
      <c r="M2737" s="193">
        <v>2.8</v>
      </c>
      <c r="N2737" s="173" t="s">
        <v>571</v>
      </c>
    </row>
    <row r="2738" spans="1:14" x14ac:dyDescent="0.25">
      <c r="A2738" s="63" t="s">
        <v>570</v>
      </c>
      <c r="B2738" s="71" t="s">
        <v>1482</v>
      </c>
      <c r="C2738" s="2">
        <v>4099854049606</v>
      </c>
      <c r="D2738" s="118"/>
      <c r="E2738" s="119"/>
      <c r="F2738" s="25"/>
      <c r="G2738" s="156" t="str">
        <f>HYPERLINK("https://ledvance.com/pt/product-datasheet/251775/235334","Ficha Técnica")</f>
        <v>Ficha Técnica</v>
      </c>
      <c r="H2738" s="15">
        <v>10</v>
      </c>
      <c r="I2738" s="163">
        <v>470</v>
      </c>
      <c r="J2738" s="15" t="s">
        <v>1905</v>
      </c>
      <c r="K2738" s="163" t="s">
        <v>46</v>
      </c>
      <c r="L2738" s="15">
        <v>2</v>
      </c>
      <c r="M2738" s="193">
        <v>2.8</v>
      </c>
      <c r="N2738" s="173" t="s">
        <v>571</v>
      </c>
    </row>
    <row r="2739" spans="1:14" x14ac:dyDescent="0.25">
      <c r="A2739" s="63" t="s">
        <v>570</v>
      </c>
      <c r="B2739" s="71" t="s">
        <v>1483</v>
      </c>
      <c r="C2739" s="2">
        <v>4099854062520</v>
      </c>
      <c r="D2739" s="118"/>
      <c r="E2739" s="119"/>
      <c r="F2739" s="25"/>
      <c r="G2739" s="156" t="str">
        <f>HYPERLINK("https://ledvance.com/pt/product-datasheet/251515/237578","Ficha Técnica")</f>
        <v>Ficha Técnica</v>
      </c>
      <c r="H2739" s="15">
        <v>10</v>
      </c>
      <c r="I2739" s="163">
        <v>806</v>
      </c>
      <c r="J2739" s="15" t="s">
        <v>1893</v>
      </c>
      <c r="K2739" s="163" t="s">
        <v>46</v>
      </c>
      <c r="L2739" s="15">
        <v>2</v>
      </c>
      <c r="M2739" s="193">
        <v>4.5999999999999996</v>
      </c>
      <c r="N2739" s="173" t="s">
        <v>571</v>
      </c>
    </row>
    <row r="2740" spans="1:14" x14ac:dyDescent="0.25">
      <c r="A2740" s="63" t="s">
        <v>570</v>
      </c>
      <c r="B2740" s="71" t="s">
        <v>1484</v>
      </c>
      <c r="C2740" s="2">
        <v>4099854062629</v>
      </c>
      <c r="D2740" s="118"/>
      <c r="E2740" s="119"/>
      <c r="F2740" s="25"/>
      <c r="G2740" s="156" t="str">
        <f>HYPERLINK("https://ledvance.com/pt/product-datasheet/251515/237624","Ficha Técnica")</f>
        <v>Ficha Técnica</v>
      </c>
      <c r="H2740" s="15">
        <v>10</v>
      </c>
      <c r="I2740" s="163">
        <v>806</v>
      </c>
      <c r="J2740" s="15" t="s">
        <v>1893</v>
      </c>
      <c r="K2740" s="163" t="s">
        <v>46</v>
      </c>
      <c r="L2740" s="15">
        <v>2</v>
      </c>
      <c r="M2740" s="193">
        <v>4.5999999999999996</v>
      </c>
      <c r="N2740" s="173" t="s">
        <v>571</v>
      </c>
    </row>
    <row r="2741" spans="1:14" x14ac:dyDescent="0.25">
      <c r="A2741" s="63" t="s">
        <v>570</v>
      </c>
      <c r="B2741" s="71" t="s">
        <v>1485</v>
      </c>
      <c r="C2741" s="2">
        <v>4099854049620</v>
      </c>
      <c r="D2741" s="118"/>
      <c r="E2741" s="119"/>
      <c r="F2741" s="25"/>
      <c r="G2741" s="156" t="str">
        <f>HYPERLINK("https://ledvance.com/pt/product-datasheet/251775/235324","Ficha Técnica")</f>
        <v>Ficha Técnica</v>
      </c>
      <c r="H2741" s="15">
        <v>10</v>
      </c>
      <c r="I2741" s="163">
        <v>806</v>
      </c>
      <c r="J2741" s="15">
        <v>8</v>
      </c>
      <c r="K2741" s="163" t="s">
        <v>46</v>
      </c>
      <c r="L2741" s="15">
        <v>2</v>
      </c>
      <c r="M2741" s="193">
        <v>3</v>
      </c>
      <c r="N2741" s="173" t="s">
        <v>571</v>
      </c>
    </row>
    <row r="2742" spans="1:14" x14ac:dyDescent="0.25">
      <c r="A2742" s="63" t="s">
        <v>570</v>
      </c>
      <c r="B2742" s="71" t="s">
        <v>1486</v>
      </c>
      <c r="C2742" s="2">
        <v>4099854049187</v>
      </c>
      <c r="D2742" s="118"/>
      <c r="E2742" s="119"/>
      <c r="F2742" s="25"/>
      <c r="G2742" s="156" t="str">
        <f>HYPERLINK("https://ledvance.com/pt/product-datasheet/251775/235379","Ficha Técnica")</f>
        <v>Ficha Técnica</v>
      </c>
      <c r="H2742" s="15">
        <v>10</v>
      </c>
      <c r="I2742" s="163">
        <v>806</v>
      </c>
      <c r="J2742" s="15">
        <v>8</v>
      </c>
      <c r="K2742" s="163" t="s">
        <v>46</v>
      </c>
      <c r="L2742" s="15">
        <v>2</v>
      </c>
      <c r="M2742" s="193">
        <v>3</v>
      </c>
      <c r="N2742" s="173" t="s">
        <v>571</v>
      </c>
    </row>
    <row r="2743" spans="1:14" x14ac:dyDescent="0.25">
      <c r="A2743" s="63" t="s">
        <v>570</v>
      </c>
      <c r="B2743" s="71" t="s">
        <v>1487</v>
      </c>
      <c r="C2743" s="2">
        <v>4099854049200</v>
      </c>
      <c r="D2743" s="118"/>
      <c r="E2743" s="119"/>
      <c r="F2743" s="25"/>
      <c r="G2743" s="156" t="str">
        <f>HYPERLINK("https://ledvance.com/pt/product-datasheet/251775/235388","Ficha Técnica")</f>
        <v>Ficha Técnica</v>
      </c>
      <c r="H2743" s="15">
        <v>10</v>
      </c>
      <c r="I2743" s="163">
        <v>806</v>
      </c>
      <c r="J2743" s="15">
        <v>8</v>
      </c>
      <c r="K2743" s="163" t="s">
        <v>46</v>
      </c>
      <c r="L2743" s="15">
        <v>2</v>
      </c>
      <c r="M2743" s="193">
        <v>3</v>
      </c>
      <c r="N2743" s="173" t="s">
        <v>571</v>
      </c>
    </row>
    <row r="2744" spans="1:14" x14ac:dyDescent="0.25">
      <c r="A2744" s="63" t="s">
        <v>570</v>
      </c>
      <c r="B2744" s="71" t="s">
        <v>1488</v>
      </c>
      <c r="C2744" s="2">
        <v>4099854062100</v>
      </c>
      <c r="D2744" s="118"/>
      <c r="E2744" s="119"/>
      <c r="F2744" s="25"/>
      <c r="G2744" s="156" t="str">
        <f>HYPERLINK("https://ledvance.com/pt/product-datasheet/251515/237458","Ficha Técnica")</f>
        <v>Ficha Técnica</v>
      </c>
      <c r="H2744" s="15">
        <v>10</v>
      </c>
      <c r="I2744" s="163">
        <v>1055</v>
      </c>
      <c r="J2744" s="15" t="s">
        <v>1854</v>
      </c>
      <c r="K2744" s="163" t="s">
        <v>46</v>
      </c>
      <c r="L2744" s="15">
        <v>2</v>
      </c>
      <c r="M2744" s="193">
        <v>5.7</v>
      </c>
      <c r="N2744" s="173" t="s">
        <v>571</v>
      </c>
    </row>
    <row r="2745" spans="1:14" x14ac:dyDescent="0.25">
      <c r="A2745" s="63" t="s">
        <v>570</v>
      </c>
      <c r="B2745" s="71" t="s">
        <v>1489</v>
      </c>
      <c r="C2745" s="2">
        <v>4099854062902</v>
      </c>
      <c r="D2745" s="118"/>
      <c r="E2745" s="119"/>
      <c r="F2745" s="25"/>
      <c r="G2745" s="156" t="str">
        <f>HYPERLINK("https://ledvance.com/pt/product-datasheet/251515/237664","Ficha Técnica")</f>
        <v>Ficha Técnica</v>
      </c>
      <c r="H2745" s="15">
        <v>10</v>
      </c>
      <c r="I2745" s="163">
        <v>1055</v>
      </c>
      <c r="J2745" s="15" t="s">
        <v>1854</v>
      </c>
      <c r="K2745" s="163" t="s">
        <v>46</v>
      </c>
      <c r="L2745" s="15">
        <v>2</v>
      </c>
      <c r="M2745" s="193">
        <v>5.7</v>
      </c>
      <c r="N2745" s="173" t="s">
        <v>571</v>
      </c>
    </row>
    <row r="2746" spans="1:14" x14ac:dyDescent="0.25">
      <c r="A2746" s="63" t="s">
        <v>570</v>
      </c>
      <c r="B2746" s="71" t="s">
        <v>1490</v>
      </c>
      <c r="C2746" s="2">
        <v>4099854048807</v>
      </c>
      <c r="D2746" s="118"/>
      <c r="E2746" s="119"/>
      <c r="F2746" s="25"/>
      <c r="G2746" s="156" t="str">
        <f>HYPERLINK("https://ledvance.com/pt/product-datasheet/251775/235406","Ficha Técnica")</f>
        <v>Ficha Técnica</v>
      </c>
      <c r="H2746" s="15">
        <v>10</v>
      </c>
      <c r="I2746" s="163">
        <v>1055</v>
      </c>
      <c r="J2746" s="15">
        <v>10</v>
      </c>
      <c r="K2746" s="163" t="s">
        <v>46</v>
      </c>
      <c r="L2746" s="15">
        <v>2</v>
      </c>
      <c r="M2746" s="193">
        <v>3.9</v>
      </c>
      <c r="N2746" s="173" t="s">
        <v>571</v>
      </c>
    </row>
    <row r="2747" spans="1:14" x14ac:dyDescent="0.25">
      <c r="A2747" s="63" t="s">
        <v>570</v>
      </c>
      <c r="B2747" s="71" t="s">
        <v>1491</v>
      </c>
      <c r="C2747" s="2">
        <v>4099854048883</v>
      </c>
      <c r="D2747" s="118"/>
      <c r="E2747" s="119"/>
      <c r="F2747" s="25"/>
      <c r="G2747" s="156" t="str">
        <f>HYPERLINK("https://ledvance.com/pt/product-datasheet/251775/235439","Ficha Técnica")</f>
        <v>Ficha Técnica</v>
      </c>
      <c r="H2747" s="15">
        <v>10</v>
      </c>
      <c r="I2747" s="163">
        <v>1055</v>
      </c>
      <c r="J2747" s="15">
        <v>10</v>
      </c>
      <c r="K2747" s="163" t="s">
        <v>46</v>
      </c>
      <c r="L2747" s="15">
        <v>2</v>
      </c>
      <c r="M2747" s="193">
        <v>3.9</v>
      </c>
      <c r="N2747" s="173" t="s">
        <v>571</v>
      </c>
    </row>
    <row r="2748" spans="1:14" x14ac:dyDescent="0.25">
      <c r="A2748" s="63" t="s">
        <v>570</v>
      </c>
      <c r="B2748" s="71" t="s">
        <v>1669</v>
      </c>
      <c r="C2748" s="2">
        <v>4099854151002</v>
      </c>
      <c r="D2748" s="118"/>
      <c r="E2748" s="119"/>
      <c r="F2748" s="25"/>
      <c r="G2748" s="156" t="str">
        <f>HYPERLINK("https://ledvance.com/pt/product-datasheet/251775/262878","Ficha Técnica")</f>
        <v>Ficha Técnica</v>
      </c>
      <c r="H2748" s="15">
        <v>10</v>
      </c>
      <c r="I2748" s="163">
        <v>1055</v>
      </c>
      <c r="J2748" s="15">
        <v>10</v>
      </c>
      <c r="K2748" s="163" t="s">
        <v>46</v>
      </c>
      <c r="L2748" s="15">
        <v>2</v>
      </c>
      <c r="M2748" s="193">
        <v>3.9</v>
      </c>
      <c r="N2748" s="173" t="s">
        <v>571</v>
      </c>
    </row>
    <row r="2749" spans="1:14" x14ac:dyDescent="0.25">
      <c r="A2749" s="63" t="s">
        <v>570</v>
      </c>
      <c r="B2749" s="71" t="s">
        <v>1492</v>
      </c>
      <c r="C2749" s="2">
        <v>4099854069062</v>
      </c>
      <c r="D2749" s="118"/>
      <c r="E2749" s="119"/>
      <c r="F2749" s="25"/>
      <c r="G2749" s="156" t="str">
        <f>HYPERLINK("https://ledvance.com/pt/product-datasheet/251515/238868","Ficha Técnica")</f>
        <v>Ficha Técnica</v>
      </c>
      <c r="H2749" s="15">
        <v>10</v>
      </c>
      <c r="I2749" s="163">
        <v>1521</v>
      </c>
      <c r="J2749" s="15">
        <v>11</v>
      </c>
      <c r="K2749" s="163" t="s">
        <v>46</v>
      </c>
      <c r="L2749" s="15">
        <v>2</v>
      </c>
      <c r="M2749" s="193">
        <v>8.1</v>
      </c>
      <c r="N2749" s="173" t="s">
        <v>571</v>
      </c>
    </row>
    <row r="2750" spans="1:14" x14ac:dyDescent="0.25">
      <c r="A2750" s="63" t="s">
        <v>570</v>
      </c>
      <c r="B2750" s="71" t="s">
        <v>1493</v>
      </c>
      <c r="C2750" s="2">
        <v>4099854069048</v>
      </c>
      <c r="D2750" s="118"/>
      <c r="E2750" s="119"/>
      <c r="F2750" s="25"/>
      <c r="G2750" s="156" t="str">
        <f>HYPERLINK("https://ledvance.com/pt/product-datasheet/251515/238877","Ficha Técnica")</f>
        <v>Ficha Técnica</v>
      </c>
      <c r="H2750" s="15">
        <v>10</v>
      </c>
      <c r="I2750" s="163">
        <v>1521</v>
      </c>
      <c r="J2750" s="15">
        <v>11</v>
      </c>
      <c r="K2750" s="163" t="s">
        <v>46</v>
      </c>
      <c r="L2750" s="15">
        <v>2</v>
      </c>
      <c r="M2750" s="193">
        <v>8.1</v>
      </c>
      <c r="N2750" s="173" t="s">
        <v>571</v>
      </c>
    </row>
    <row r="2751" spans="1:14" x14ac:dyDescent="0.25">
      <c r="A2751" s="63" t="s">
        <v>570</v>
      </c>
      <c r="B2751" s="71" t="s">
        <v>1494</v>
      </c>
      <c r="C2751" s="2">
        <v>4099854048906</v>
      </c>
      <c r="D2751" s="118"/>
      <c r="E2751" s="119"/>
      <c r="F2751" s="25"/>
      <c r="G2751" s="156" t="str">
        <f>HYPERLINK("https://ledvance.com/pt/product-datasheet/251775/235480","Ficha Técnica")</f>
        <v>Ficha Técnica</v>
      </c>
      <c r="H2751" s="15">
        <v>10</v>
      </c>
      <c r="I2751" s="163">
        <v>1521</v>
      </c>
      <c r="J2751" s="15">
        <v>13</v>
      </c>
      <c r="K2751" s="163" t="s">
        <v>46</v>
      </c>
      <c r="L2751" s="15">
        <v>2</v>
      </c>
      <c r="M2751" s="193">
        <v>5.7</v>
      </c>
      <c r="N2751" s="173" t="s">
        <v>571</v>
      </c>
    </row>
    <row r="2752" spans="1:14" x14ac:dyDescent="0.25">
      <c r="A2752" s="63" t="s">
        <v>570</v>
      </c>
      <c r="B2752" s="71" t="s">
        <v>1495</v>
      </c>
      <c r="C2752" s="2">
        <v>4099854049002</v>
      </c>
      <c r="D2752" s="118"/>
      <c r="E2752" s="119"/>
      <c r="F2752" s="25"/>
      <c r="G2752" s="156" t="str">
        <f>HYPERLINK("https://ledvance.com/pt/product-datasheet/251775/235526","Ficha Técnica")</f>
        <v>Ficha Técnica</v>
      </c>
      <c r="H2752" s="15">
        <v>10</v>
      </c>
      <c r="I2752" s="163">
        <v>1521</v>
      </c>
      <c r="J2752" s="15">
        <v>13</v>
      </c>
      <c r="K2752" s="163" t="s">
        <v>46</v>
      </c>
      <c r="L2752" s="15">
        <v>2</v>
      </c>
      <c r="M2752" s="193">
        <v>5.7</v>
      </c>
      <c r="N2752" s="173" t="s">
        <v>571</v>
      </c>
    </row>
    <row r="2753" spans="1:14" x14ac:dyDescent="0.25">
      <c r="A2753" s="63" t="s">
        <v>570</v>
      </c>
      <c r="B2753" s="71" t="s">
        <v>1496</v>
      </c>
      <c r="C2753" s="2">
        <v>4099854049026</v>
      </c>
      <c r="D2753" s="118"/>
      <c r="E2753" s="119"/>
      <c r="F2753" s="25"/>
      <c r="G2753" s="156" t="str">
        <f>HYPERLINK("https://ledvance.com/pt/product-datasheet/251775/235424","Ficha Técnica")</f>
        <v>Ficha Técnica</v>
      </c>
      <c r="H2753" s="15">
        <v>10</v>
      </c>
      <c r="I2753" s="163">
        <v>1521</v>
      </c>
      <c r="J2753" s="15">
        <v>13</v>
      </c>
      <c r="K2753" s="163" t="s">
        <v>46</v>
      </c>
      <c r="L2753" s="15">
        <v>2</v>
      </c>
      <c r="M2753" s="193">
        <v>5.7</v>
      </c>
      <c r="N2753" s="173" t="s">
        <v>571</v>
      </c>
    </row>
    <row r="2754" spans="1:14" x14ac:dyDescent="0.25">
      <c r="A2754" s="63" t="s">
        <v>570</v>
      </c>
      <c r="B2754" s="71" t="s">
        <v>1497</v>
      </c>
      <c r="C2754" s="2">
        <v>4099854069871</v>
      </c>
      <c r="D2754" s="118"/>
      <c r="E2754" s="119"/>
      <c r="F2754" s="25"/>
      <c r="G2754" s="156" t="str">
        <f>HYPERLINK("https://ledvance.com/pt/product-datasheet/251517/238865","Ficha Técnica")</f>
        <v>Ficha Técnica</v>
      </c>
      <c r="H2754" s="15">
        <v>10</v>
      </c>
      <c r="I2754" s="163">
        <v>470</v>
      </c>
      <c r="J2754" s="15">
        <v>4</v>
      </c>
      <c r="K2754" s="163" t="s">
        <v>46</v>
      </c>
      <c r="L2754" s="15">
        <v>2</v>
      </c>
      <c r="M2754" s="193">
        <v>3.4</v>
      </c>
      <c r="N2754" s="173" t="s">
        <v>571</v>
      </c>
    </row>
    <row r="2755" spans="1:14" x14ac:dyDescent="0.25">
      <c r="A2755" s="63" t="s">
        <v>570</v>
      </c>
      <c r="B2755" s="71" t="s">
        <v>1498</v>
      </c>
      <c r="C2755" s="2">
        <v>4099854049323</v>
      </c>
      <c r="D2755" s="118"/>
      <c r="E2755" s="119"/>
      <c r="F2755" s="25"/>
      <c r="G2755" s="156" t="str">
        <f>HYPERLINK("https://ledvance.com/pt/product-datasheet/251777/235523","Ficha Técnica")</f>
        <v>Ficha Técnica</v>
      </c>
      <c r="H2755" s="15">
        <v>10</v>
      </c>
      <c r="I2755" s="163">
        <v>470</v>
      </c>
      <c r="J2755" s="15" t="s">
        <v>1905</v>
      </c>
      <c r="K2755" s="163" t="s">
        <v>46</v>
      </c>
      <c r="L2755" s="15">
        <v>2</v>
      </c>
      <c r="M2755" s="193">
        <v>3.2</v>
      </c>
      <c r="N2755" s="173" t="s">
        <v>571</v>
      </c>
    </row>
    <row r="2756" spans="1:14" x14ac:dyDescent="0.25">
      <c r="A2756" s="63" t="s">
        <v>570</v>
      </c>
      <c r="B2756" s="71" t="s">
        <v>1499</v>
      </c>
      <c r="C2756" s="2">
        <v>4099854049347</v>
      </c>
      <c r="D2756" s="118"/>
      <c r="E2756" s="119"/>
      <c r="F2756" s="25"/>
      <c r="G2756" s="156" t="str">
        <f>HYPERLINK("https://ledvance.com/pt/product-datasheet/251777/235545","Ficha Técnica")</f>
        <v>Ficha Técnica</v>
      </c>
      <c r="H2756" s="15">
        <v>10</v>
      </c>
      <c r="I2756" s="163">
        <v>470</v>
      </c>
      <c r="J2756" s="15" t="s">
        <v>1905</v>
      </c>
      <c r="K2756" s="163" t="s">
        <v>46</v>
      </c>
      <c r="L2756" s="15">
        <v>2</v>
      </c>
      <c r="M2756" s="193">
        <v>3.2</v>
      </c>
      <c r="N2756" s="173" t="s">
        <v>571</v>
      </c>
    </row>
    <row r="2757" spans="1:14" x14ac:dyDescent="0.25">
      <c r="A2757" s="63" t="s">
        <v>570</v>
      </c>
      <c r="B2757" s="71" t="s">
        <v>1500</v>
      </c>
      <c r="C2757" s="2">
        <v>4099854049361</v>
      </c>
      <c r="D2757" s="118"/>
      <c r="E2757" s="119"/>
      <c r="F2757" s="25"/>
      <c r="G2757" s="156" t="str">
        <f>HYPERLINK("https://ledvance.com/pt/product-datasheet/251777/235551","Ficha Técnica")</f>
        <v>Ficha Técnica</v>
      </c>
      <c r="H2757" s="15">
        <v>10</v>
      </c>
      <c r="I2757" s="163">
        <v>470</v>
      </c>
      <c r="J2757" s="15" t="s">
        <v>1905</v>
      </c>
      <c r="K2757" s="163" t="s">
        <v>46</v>
      </c>
      <c r="L2757" s="15">
        <v>2</v>
      </c>
      <c r="M2757" s="193">
        <v>3.2</v>
      </c>
      <c r="N2757" s="173" t="s">
        <v>571</v>
      </c>
    </row>
    <row r="2758" spans="1:14" x14ac:dyDescent="0.25">
      <c r="A2758" s="63" t="s">
        <v>570</v>
      </c>
      <c r="B2758" s="71" t="s">
        <v>1501</v>
      </c>
      <c r="C2758" s="2">
        <v>4099854049262</v>
      </c>
      <c r="D2758" s="118"/>
      <c r="E2758" s="119"/>
      <c r="F2758" s="25"/>
      <c r="G2758" s="156" t="str">
        <f>HYPERLINK("https://ledvance.com/pt/product-datasheet/251777/235563","Ficha Técnica")</f>
        <v>Ficha Técnica</v>
      </c>
      <c r="H2758" s="15">
        <v>10</v>
      </c>
      <c r="I2758" s="163">
        <v>806</v>
      </c>
      <c r="J2758" s="15" t="s">
        <v>1854</v>
      </c>
      <c r="K2758" s="163" t="s">
        <v>46</v>
      </c>
      <c r="L2758" s="15">
        <v>2</v>
      </c>
      <c r="M2758" s="193">
        <v>4.3</v>
      </c>
      <c r="N2758" s="173" t="s">
        <v>571</v>
      </c>
    </row>
    <row r="2759" spans="1:14" x14ac:dyDescent="0.25">
      <c r="A2759" s="63" t="s">
        <v>570</v>
      </c>
      <c r="B2759" s="71" t="s">
        <v>1502</v>
      </c>
      <c r="C2759" s="2">
        <v>4099854069024</v>
      </c>
      <c r="D2759" s="118"/>
      <c r="E2759" s="119"/>
      <c r="F2759" s="25"/>
      <c r="G2759" s="156" t="str">
        <f>HYPERLINK("https://ledvance.com/pt/product-datasheet/251519/238862","Ficha Técnica")</f>
        <v>Ficha Técnica</v>
      </c>
      <c r="H2759" s="15">
        <v>10</v>
      </c>
      <c r="I2759" s="163">
        <v>470</v>
      </c>
      <c r="J2759" s="15">
        <v>4</v>
      </c>
      <c r="K2759" s="163" t="s">
        <v>46</v>
      </c>
      <c r="L2759" s="15">
        <v>2</v>
      </c>
      <c r="M2759" s="193">
        <v>3.9</v>
      </c>
      <c r="N2759" s="173" t="s">
        <v>571</v>
      </c>
    </row>
    <row r="2760" spans="1:14" x14ac:dyDescent="0.25">
      <c r="A2760" s="63" t="s">
        <v>570</v>
      </c>
      <c r="B2760" s="71" t="s">
        <v>1503</v>
      </c>
      <c r="C2760" s="2">
        <v>4099854049408</v>
      </c>
      <c r="D2760" s="118"/>
      <c r="E2760" s="119"/>
      <c r="F2760" s="25"/>
      <c r="G2760" s="156" t="str">
        <f>HYPERLINK("https://ledvance.com/pt/product-datasheet/251779/235599","Ficha Técnica")</f>
        <v>Ficha Técnica</v>
      </c>
      <c r="H2760" s="15">
        <v>10</v>
      </c>
      <c r="I2760" s="163">
        <v>470</v>
      </c>
      <c r="J2760" s="15" t="s">
        <v>1905</v>
      </c>
      <c r="K2760" s="163" t="s">
        <v>46</v>
      </c>
      <c r="L2760" s="15">
        <v>2</v>
      </c>
      <c r="M2760" s="193">
        <v>2.9</v>
      </c>
      <c r="N2760" s="173" t="s">
        <v>571</v>
      </c>
    </row>
    <row r="2761" spans="1:14" x14ac:dyDescent="0.25">
      <c r="A2761" s="63" t="s">
        <v>570</v>
      </c>
      <c r="B2761" s="71" t="s">
        <v>1504</v>
      </c>
      <c r="C2761" s="2">
        <v>4099854049422</v>
      </c>
      <c r="D2761" s="118"/>
      <c r="E2761" s="119"/>
      <c r="F2761" s="25"/>
      <c r="G2761" s="156" t="str">
        <f>HYPERLINK("https://ledvance.com/pt/product-datasheet/251779/235611","Ficha Técnica")</f>
        <v>Ficha Técnica</v>
      </c>
      <c r="H2761" s="15">
        <v>10</v>
      </c>
      <c r="I2761" s="163">
        <v>470</v>
      </c>
      <c r="J2761" s="15" t="s">
        <v>1905</v>
      </c>
      <c r="K2761" s="163" t="s">
        <v>46</v>
      </c>
      <c r="L2761" s="15">
        <v>2</v>
      </c>
      <c r="M2761" s="193">
        <v>2.9</v>
      </c>
      <c r="N2761" s="173" t="s">
        <v>571</v>
      </c>
    </row>
    <row r="2762" spans="1:14" x14ac:dyDescent="0.25">
      <c r="A2762" s="63" t="s">
        <v>570</v>
      </c>
      <c r="B2762" s="71" t="s">
        <v>1505</v>
      </c>
      <c r="C2762" s="2">
        <v>4099854049446</v>
      </c>
      <c r="D2762" s="118"/>
      <c r="E2762" s="119"/>
      <c r="F2762" s="25"/>
      <c r="G2762" s="156" t="str">
        <f>HYPERLINK("https://ledvance.com/pt/product-datasheet/251779/235617","Ficha Técnica")</f>
        <v>Ficha Técnica</v>
      </c>
      <c r="H2762" s="15">
        <v>10</v>
      </c>
      <c r="I2762" s="163">
        <v>470</v>
      </c>
      <c r="J2762" s="15" t="s">
        <v>1905</v>
      </c>
      <c r="K2762" s="163" t="s">
        <v>46</v>
      </c>
      <c r="L2762" s="15">
        <v>2</v>
      </c>
      <c r="M2762" s="193">
        <v>2.9</v>
      </c>
      <c r="N2762" s="173" t="s">
        <v>571</v>
      </c>
    </row>
    <row r="2763" spans="1:14" x14ac:dyDescent="0.25">
      <c r="A2763" s="63" t="s">
        <v>570</v>
      </c>
      <c r="B2763" s="71" t="s">
        <v>1506</v>
      </c>
      <c r="C2763" s="2">
        <v>4099854049224</v>
      </c>
      <c r="D2763" s="118"/>
      <c r="E2763" s="119"/>
      <c r="F2763" s="25"/>
      <c r="G2763" s="156" t="str">
        <f>HYPERLINK("https://ledvance.com/pt/product-datasheet/251779/235638","Ficha Técnica")</f>
        <v>Ficha Técnica</v>
      </c>
      <c r="H2763" s="15">
        <v>10</v>
      </c>
      <c r="I2763" s="163">
        <v>806</v>
      </c>
      <c r="J2763" s="15" t="s">
        <v>1893</v>
      </c>
      <c r="K2763" s="163" t="s">
        <v>46</v>
      </c>
      <c r="L2763" s="15">
        <v>2</v>
      </c>
      <c r="M2763" s="193">
        <v>4</v>
      </c>
      <c r="N2763" s="173" t="s">
        <v>571</v>
      </c>
    </row>
    <row r="2764" spans="1:14" x14ac:dyDescent="0.25">
      <c r="A2764" s="66" t="s">
        <v>570</v>
      </c>
      <c r="B2764" s="73" t="s">
        <v>812</v>
      </c>
      <c r="C2764" s="52"/>
      <c r="D2764" s="65"/>
      <c r="E2764" s="92"/>
      <c r="F2764" s="12"/>
      <c r="G2764" s="157"/>
      <c r="H2764" s="12"/>
      <c r="I2764" s="62"/>
      <c r="J2764" s="27"/>
      <c r="K2764" s="62"/>
      <c r="L2764" s="12"/>
      <c r="M2764" s="191"/>
      <c r="N2764" s="130"/>
    </row>
    <row r="2765" spans="1:14" x14ac:dyDescent="0.25">
      <c r="A2765" s="63" t="s">
        <v>570</v>
      </c>
      <c r="B2765" s="71" t="s">
        <v>1507</v>
      </c>
      <c r="C2765" s="2">
        <v>4099854070501</v>
      </c>
      <c r="D2765" s="118"/>
      <c r="E2765" s="119"/>
      <c r="F2765" s="25"/>
      <c r="G2765" s="156" t="str">
        <f>HYPERLINK("https://ledvance.com/pt/product-datasheet/250993/239192","Ficha Técnica")</f>
        <v>Ficha Técnica</v>
      </c>
      <c r="H2765" s="15">
        <v>10</v>
      </c>
      <c r="I2765" s="163">
        <v>230</v>
      </c>
      <c r="J2765" s="15" t="s">
        <v>1913</v>
      </c>
      <c r="K2765" s="163" t="s">
        <v>46</v>
      </c>
      <c r="L2765" s="15">
        <v>5</v>
      </c>
      <c r="M2765" s="193">
        <v>14.9</v>
      </c>
      <c r="N2765" s="173" t="s">
        <v>571</v>
      </c>
    </row>
    <row r="2766" spans="1:14" x14ac:dyDescent="0.25">
      <c r="A2766" s="63" t="s">
        <v>570</v>
      </c>
      <c r="B2766" s="71" t="s">
        <v>1508</v>
      </c>
      <c r="C2766" s="2">
        <v>4099854070525</v>
      </c>
      <c r="D2766" s="118"/>
      <c r="E2766" s="119"/>
      <c r="F2766" s="25"/>
      <c r="G2766" s="156" t="str">
        <f>HYPERLINK("https://ledvance.com/pt/product-datasheet/250993/239195","Ficha Técnica")</f>
        <v>Ficha Técnica</v>
      </c>
      <c r="H2766" s="15">
        <v>10</v>
      </c>
      <c r="I2766" s="163">
        <v>230</v>
      </c>
      <c r="J2766" s="15" t="s">
        <v>1913</v>
      </c>
      <c r="K2766" s="163" t="s">
        <v>46</v>
      </c>
      <c r="L2766" s="15">
        <v>5</v>
      </c>
      <c r="M2766" s="193">
        <v>14.9</v>
      </c>
      <c r="N2766" s="173" t="s">
        <v>571</v>
      </c>
    </row>
    <row r="2767" spans="1:14" x14ac:dyDescent="0.25">
      <c r="A2767" s="63" t="s">
        <v>570</v>
      </c>
      <c r="B2767" s="71" t="s">
        <v>1509</v>
      </c>
      <c r="C2767" s="2">
        <v>4099854070549</v>
      </c>
      <c r="D2767" s="118"/>
      <c r="E2767" s="119"/>
      <c r="F2767" s="25"/>
      <c r="G2767" s="156" t="str">
        <f>HYPERLINK("https://ledvance.com/pt/product-datasheet/250993/239198","Ficha Técnica")</f>
        <v>Ficha Técnica</v>
      </c>
      <c r="H2767" s="15">
        <v>10</v>
      </c>
      <c r="I2767" s="163">
        <v>230</v>
      </c>
      <c r="J2767" s="15" t="s">
        <v>1913</v>
      </c>
      <c r="K2767" s="163" t="s">
        <v>46</v>
      </c>
      <c r="L2767" s="15">
        <v>5</v>
      </c>
      <c r="M2767" s="193">
        <v>14.9</v>
      </c>
      <c r="N2767" s="173" t="s">
        <v>571</v>
      </c>
    </row>
    <row r="2768" spans="1:14" x14ac:dyDescent="0.25">
      <c r="A2768" s="63" t="s">
        <v>570</v>
      </c>
      <c r="B2768" s="71" t="s">
        <v>1510</v>
      </c>
      <c r="C2768" s="2">
        <v>4099854058776</v>
      </c>
      <c r="D2768" s="118"/>
      <c r="E2768" s="119"/>
      <c r="F2768" s="25"/>
      <c r="G2768" s="156" t="str">
        <f>HYPERLINK("https://ledvance.com/pt/product-datasheet/250993/236810","Ficha Técnica")</f>
        <v>Ficha Técnica</v>
      </c>
      <c r="H2768" s="15">
        <v>10</v>
      </c>
      <c r="I2768" s="163">
        <v>350</v>
      </c>
      <c r="J2768" s="15" t="s">
        <v>1914</v>
      </c>
      <c r="K2768" s="163" t="s">
        <v>46</v>
      </c>
      <c r="L2768" s="15">
        <v>5</v>
      </c>
      <c r="M2768" s="193">
        <v>16.899999999999999</v>
      </c>
      <c r="N2768" s="173" t="s">
        <v>571</v>
      </c>
    </row>
    <row r="2769" spans="1:14" x14ac:dyDescent="0.25">
      <c r="A2769" s="63" t="s">
        <v>570</v>
      </c>
      <c r="B2769" s="71" t="s">
        <v>1511</v>
      </c>
      <c r="C2769" s="2">
        <v>4099854058837</v>
      </c>
      <c r="D2769" s="118"/>
      <c r="E2769" s="119"/>
      <c r="F2769" s="25"/>
      <c r="G2769" s="156" t="str">
        <f>HYPERLINK("https://ledvance.com/pt/product-datasheet/250993/236813","Ficha Técnica")</f>
        <v>Ficha Técnica</v>
      </c>
      <c r="H2769" s="15">
        <v>10</v>
      </c>
      <c r="I2769" s="163">
        <v>350</v>
      </c>
      <c r="J2769" s="15" t="s">
        <v>1914</v>
      </c>
      <c r="K2769" s="163" t="s">
        <v>46</v>
      </c>
      <c r="L2769" s="15">
        <v>5</v>
      </c>
      <c r="M2769" s="193">
        <v>16.899999999999999</v>
      </c>
      <c r="N2769" s="173" t="s">
        <v>571</v>
      </c>
    </row>
    <row r="2770" spans="1:14" x14ac:dyDescent="0.25">
      <c r="A2770" s="63" t="s">
        <v>570</v>
      </c>
      <c r="B2770" s="71" t="s">
        <v>1512</v>
      </c>
      <c r="C2770" s="2">
        <v>4099854058929</v>
      </c>
      <c r="D2770" s="118"/>
      <c r="E2770" s="119"/>
      <c r="F2770" s="25"/>
      <c r="G2770" s="156" t="str">
        <f>HYPERLINK("https://ledvance.com/pt/product-datasheet/250993/236816","Ficha Técnica")</f>
        <v>Ficha Técnica</v>
      </c>
      <c r="H2770" s="15">
        <v>10</v>
      </c>
      <c r="I2770" s="163">
        <v>350</v>
      </c>
      <c r="J2770" s="15" t="s">
        <v>1914</v>
      </c>
      <c r="K2770" s="163" t="s">
        <v>46</v>
      </c>
      <c r="L2770" s="15">
        <v>5</v>
      </c>
      <c r="M2770" s="193">
        <v>16.899999999999999</v>
      </c>
      <c r="N2770" s="173" t="s">
        <v>571</v>
      </c>
    </row>
    <row r="2771" spans="1:14" x14ac:dyDescent="0.25">
      <c r="A2771" s="63" t="s">
        <v>570</v>
      </c>
      <c r="B2771" s="71" t="s">
        <v>1513</v>
      </c>
      <c r="C2771" s="2">
        <v>4099854048111</v>
      </c>
      <c r="D2771" s="118"/>
      <c r="E2771" s="119"/>
      <c r="F2771" s="25"/>
      <c r="G2771" s="156" t="str">
        <f>HYPERLINK("https://ledvance.com/pt/product-datasheet/250993/235842","Ficha Técnica")</f>
        <v>Ficha Técnica</v>
      </c>
      <c r="H2771" s="15">
        <v>10</v>
      </c>
      <c r="I2771" s="163">
        <v>500</v>
      </c>
      <c r="J2771" s="15" t="s">
        <v>1867</v>
      </c>
      <c r="K2771" s="163" t="s">
        <v>46</v>
      </c>
      <c r="L2771" s="15">
        <v>5</v>
      </c>
      <c r="M2771" s="193">
        <v>19.5</v>
      </c>
      <c r="N2771" s="173" t="s">
        <v>571</v>
      </c>
    </row>
    <row r="2772" spans="1:14" x14ac:dyDescent="0.25">
      <c r="A2772" s="63" t="s">
        <v>570</v>
      </c>
      <c r="B2772" s="71" t="s">
        <v>1514</v>
      </c>
      <c r="C2772" s="2">
        <v>4099854048159</v>
      </c>
      <c r="D2772" s="118"/>
      <c r="E2772" s="119"/>
      <c r="F2772" s="25"/>
      <c r="G2772" s="156" t="str">
        <f>HYPERLINK("https://ledvance.com/pt/product-datasheet/250993/235849","Ficha Técnica")</f>
        <v>Ficha Técnica</v>
      </c>
      <c r="H2772" s="15">
        <v>10</v>
      </c>
      <c r="I2772" s="163">
        <v>500</v>
      </c>
      <c r="J2772" s="15" t="s">
        <v>1867</v>
      </c>
      <c r="K2772" s="163" t="s">
        <v>46</v>
      </c>
      <c r="L2772" s="15">
        <v>5</v>
      </c>
      <c r="M2772" s="193">
        <v>19.5</v>
      </c>
      <c r="N2772" s="173" t="s">
        <v>571</v>
      </c>
    </row>
    <row r="2773" spans="1:14" x14ac:dyDescent="0.25">
      <c r="A2773" s="63" t="s">
        <v>570</v>
      </c>
      <c r="B2773" s="71" t="s">
        <v>1515</v>
      </c>
      <c r="C2773" s="2">
        <v>4099854048234</v>
      </c>
      <c r="D2773" s="118"/>
      <c r="E2773" s="119"/>
      <c r="F2773" s="25"/>
      <c r="G2773" s="156" t="str">
        <f>HYPERLINK("https://ledvance.com/pt/product-datasheet/250993/235855","Ficha Técnica")</f>
        <v>Ficha Técnica</v>
      </c>
      <c r="H2773" s="15">
        <v>10</v>
      </c>
      <c r="I2773" s="163">
        <v>500</v>
      </c>
      <c r="J2773" s="15" t="s">
        <v>1867</v>
      </c>
      <c r="K2773" s="163" t="s">
        <v>46</v>
      </c>
      <c r="L2773" s="15">
        <v>5</v>
      </c>
      <c r="M2773" s="193">
        <v>19.5</v>
      </c>
      <c r="N2773" s="173" t="s">
        <v>571</v>
      </c>
    </row>
    <row r="2774" spans="1:14" x14ac:dyDescent="0.25">
      <c r="A2774" s="66" t="s">
        <v>570</v>
      </c>
      <c r="B2774" s="73" t="s">
        <v>813</v>
      </c>
      <c r="C2774" s="52"/>
      <c r="D2774" s="65"/>
      <c r="E2774" s="92"/>
      <c r="F2774" s="12"/>
      <c r="G2774" s="157"/>
      <c r="H2774" s="12"/>
      <c r="I2774" s="62"/>
      <c r="J2774" s="27"/>
      <c r="K2774" s="62"/>
      <c r="L2774" s="12"/>
      <c r="M2774" s="191"/>
      <c r="N2774" s="130"/>
    </row>
    <row r="2775" spans="1:14" x14ac:dyDescent="0.25">
      <c r="A2775" s="63" t="s">
        <v>570</v>
      </c>
      <c r="B2775" s="71" t="s">
        <v>1516</v>
      </c>
      <c r="C2775" s="2">
        <v>4058075757745</v>
      </c>
      <c r="D2775" s="118"/>
      <c r="E2775" s="119"/>
      <c r="F2775" s="25"/>
      <c r="G2775" s="156" t="str">
        <f>HYPERLINK("https://ledvance.com/pt/product-datasheet/219178/202946","Ficha Técnica")</f>
        <v>Ficha Técnica</v>
      </c>
      <c r="H2775" s="15">
        <v>10</v>
      </c>
      <c r="I2775" s="163">
        <v>621</v>
      </c>
      <c r="J2775" s="15">
        <v>8</v>
      </c>
      <c r="K2775" s="163" t="s">
        <v>46</v>
      </c>
      <c r="L2775" s="15">
        <v>3</v>
      </c>
      <c r="M2775" s="193">
        <v>4.7</v>
      </c>
      <c r="N2775" s="173" t="s">
        <v>571</v>
      </c>
    </row>
    <row r="2776" spans="1:14" x14ac:dyDescent="0.25">
      <c r="A2776" s="63" t="s">
        <v>570</v>
      </c>
      <c r="B2776" s="71" t="s">
        <v>1517</v>
      </c>
      <c r="C2776" s="2">
        <v>4058075757769</v>
      </c>
      <c r="D2776" s="118"/>
      <c r="E2776" s="119"/>
      <c r="F2776" s="25"/>
      <c r="G2776" s="156" t="str">
        <f>HYPERLINK("https://ledvance.com/pt/product-datasheet/219178/202949","Ficha Técnica")</f>
        <v>Ficha Técnica</v>
      </c>
      <c r="H2776" s="15">
        <v>10</v>
      </c>
      <c r="I2776" s="163">
        <v>621</v>
      </c>
      <c r="J2776" s="15">
        <v>8</v>
      </c>
      <c r="K2776" s="163" t="s">
        <v>46</v>
      </c>
      <c r="L2776" s="15">
        <v>3</v>
      </c>
      <c r="M2776" s="193">
        <v>4.7</v>
      </c>
      <c r="N2776" s="173" t="s">
        <v>571</v>
      </c>
    </row>
    <row r="2777" spans="1:14" x14ac:dyDescent="0.25">
      <c r="A2777" s="66" t="s">
        <v>570</v>
      </c>
      <c r="B2777" s="73" t="s">
        <v>814</v>
      </c>
      <c r="C2777" s="52"/>
      <c r="D2777" s="65"/>
      <c r="E2777" s="92"/>
      <c r="F2777" s="12"/>
      <c r="G2777" s="157"/>
      <c r="H2777" s="12"/>
      <c r="I2777" s="62"/>
      <c r="J2777" s="27"/>
      <c r="K2777" s="62"/>
      <c r="L2777" s="12"/>
      <c r="M2777" s="191"/>
      <c r="N2777" s="130"/>
    </row>
    <row r="2778" spans="1:14" x14ac:dyDescent="0.25">
      <c r="A2778" s="63" t="s">
        <v>570</v>
      </c>
      <c r="B2778" s="71" t="s">
        <v>1616</v>
      </c>
      <c r="C2778" s="2">
        <v>4099854059698</v>
      </c>
      <c r="D2778" s="135"/>
      <c r="E2778" s="132"/>
      <c r="F2778" s="25"/>
      <c r="G2778" s="156" t="str">
        <f>HYPERLINK("https://ledvance.com/pt/product-datasheet/250988/236931","Ficha Técnica")</f>
        <v>Ficha Técnica</v>
      </c>
      <c r="H2778" s="15">
        <v>10</v>
      </c>
      <c r="I2778" s="163">
        <v>345</v>
      </c>
      <c r="J2778" s="15">
        <v>5</v>
      </c>
      <c r="K2778" s="163" t="s">
        <v>46</v>
      </c>
      <c r="L2778" s="15">
        <v>5</v>
      </c>
      <c r="M2778" s="193">
        <v>10.1</v>
      </c>
      <c r="N2778" s="173" t="s">
        <v>571</v>
      </c>
    </row>
    <row r="2779" spans="1:14" x14ac:dyDescent="0.25">
      <c r="A2779" s="63" t="s">
        <v>570</v>
      </c>
      <c r="B2779" s="71" t="s">
        <v>1614</v>
      </c>
      <c r="C2779" s="2">
        <v>4099854059711</v>
      </c>
      <c r="D2779" s="135"/>
      <c r="E2779" s="132"/>
      <c r="F2779" s="25"/>
      <c r="G2779" s="156" t="str">
        <f>HYPERLINK("https://ledvance.com/pt/product-datasheet/250988/236937","Ficha Técnica")</f>
        <v>Ficha Técnica</v>
      </c>
      <c r="H2779" s="15">
        <v>10</v>
      </c>
      <c r="I2779" s="163">
        <v>345</v>
      </c>
      <c r="J2779" s="15">
        <v>5</v>
      </c>
      <c r="K2779" s="163" t="s">
        <v>46</v>
      </c>
      <c r="L2779" s="15">
        <v>5</v>
      </c>
      <c r="M2779" s="193">
        <v>10.1</v>
      </c>
      <c r="N2779" s="173" t="s">
        <v>571</v>
      </c>
    </row>
    <row r="2780" spans="1:14" x14ac:dyDescent="0.25">
      <c r="A2780" s="63" t="s">
        <v>570</v>
      </c>
      <c r="B2780" s="71" t="s">
        <v>1615</v>
      </c>
      <c r="C2780" s="2">
        <v>4099854059735</v>
      </c>
      <c r="D2780" s="135"/>
      <c r="E2780" s="132"/>
      <c r="F2780" s="25"/>
      <c r="G2780" s="156" t="str">
        <f>HYPERLINK("https://ledvance.com/pt/product-datasheet/250988/236940","Ficha Técnica")</f>
        <v>Ficha Técnica</v>
      </c>
      <c r="H2780" s="15">
        <v>10</v>
      </c>
      <c r="I2780" s="163">
        <v>345</v>
      </c>
      <c r="J2780" s="15">
        <v>5</v>
      </c>
      <c r="K2780" s="163" t="s">
        <v>46</v>
      </c>
      <c r="L2780" s="15">
        <v>5</v>
      </c>
      <c r="M2780" s="193">
        <v>10.1</v>
      </c>
      <c r="N2780" s="173" t="s">
        <v>571</v>
      </c>
    </row>
    <row r="2781" spans="1:14" x14ac:dyDescent="0.25">
      <c r="A2781" s="63" t="s">
        <v>570</v>
      </c>
      <c r="B2781" s="71" t="s">
        <v>3874</v>
      </c>
      <c r="C2781" s="2">
        <v>4099854234705</v>
      </c>
      <c r="D2781" s="95">
        <v>4099854050473</v>
      </c>
      <c r="E2781" s="96" t="s">
        <v>815</v>
      </c>
      <c r="G2781" s="156" t="str">
        <f>HYPERLINK("https://ledvance.com/pt/product-datasheet/219178/287146","Ficha Técnica")</f>
        <v>Ficha Técnica</v>
      </c>
      <c r="H2781" s="15">
        <v>10</v>
      </c>
      <c r="I2781" s="163">
        <v>621</v>
      </c>
      <c r="J2781" s="15" t="s">
        <v>1870</v>
      </c>
      <c r="K2781" s="163" t="s">
        <v>46</v>
      </c>
      <c r="L2781" s="15">
        <v>5</v>
      </c>
      <c r="M2781" s="193">
        <v>14.7</v>
      </c>
      <c r="N2781" s="173" t="s">
        <v>571</v>
      </c>
    </row>
    <row r="2782" spans="1:14" x14ac:dyDescent="0.25">
      <c r="A2782" s="63" t="s">
        <v>570</v>
      </c>
      <c r="B2782" s="71" t="s">
        <v>3875</v>
      </c>
      <c r="C2782" s="2">
        <v>4099854234729</v>
      </c>
      <c r="D2782" s="95">
        <v>4099854050497</v>
      </c>
      <c r="E2782" s="96" t="s">
        <v>816</v>
      </c>
      <c r="G2782" s="156" t="str">
        <f>HYPERLINK("https://ledvance.com/pt/product-datasheet/219178/287151","Ficha Técnica")</f>
        <v>Ficha Técnica</v>
      </c>
      <c r="H2782" s="15">
        <v>10</v>
      </c>
      <c r="I2782" s="163">
        <v>621</v>
      </c>
      <c r="J2782" s="15" t="s">
        <v>1870</v>
      </c>
      <c r="K2782" s="163" t="s">
        <v>46</v>
      </c>
      <c r="L2782" s="15">
        <v>5</v>
      </c>
      <c r="M2782" s="193">
        <v>14.7</v>
      </c>
      <c r="N2782" s="173" t="s">
        <v>571</v>
      </c>
    </row>
    <row r="2783" spans="1:14" x14ac:dyDescent="0.25">
      <c r="A2783" s="63" t="s">
        <v>570</v>
      </c>
      <c r="B2783" s="71" t="s">
        <v>3876</v>
      </c>
      <c r="C2783" s="2">
        <v>4099854234743</v>
      </c>
      <c r="D2783" s="95">
        <v>4099854050510</v>
      </c>
      <c r="E2783" s="96" t="s">
        <v>817</v>
      </c>
      <c r="G2783" s="156" t="str">
        <f>HYPERLINK("https://ledvance.com/pt/product-datasheet/219178/287155","Ficha Técnica")</f>
        <v>Ficha Técnica</v>
      </c>
      <c r="H2783" s="15">
        <v>10</v>
      </c>
      <c r="I2783" s="163">
        <v>621</v>
      </c>
      <c r="J2783" s="15" t="s">
        <v>1870</v>
      </c>
      <c r="K2783" s="163" t="s">
        <v>46</v>
      </c>
      <c r="L2783" s="15">
        <v>5</v>
      </c>
      <c r="M2783" s="193">
        <v>14.7</v>
      </c>
      <c r="N2783" s="173" t="s">
        <v>571</v>
      </c>
    </row>
    <row r="2784" spans="1:14" x14ac:dyDescent="0.25">
      <c r="A2784" s="66" t="s">
        <v>570</v>
      </c>
      <c r="B2784" s="73" t="s">
        <v>818</v>
      </c>
      <c r="C2784" s="52"/>
      <c r="D2784" s="65"/>
      <c r="E2784" s="92"/>
      <c r="F2784" s="12"/>
      <c r="G2784" s="157"/>
      <c r="H2784" s="12"/>
      <c r="I2784" s="62"/>
      <c r="J2784" s="27"/>
      <c r="K2784" s="62"/>
      <c r="L2784" s="12"/>
      <c r="M2784" s="191"/>
      <c r="N2784" s="130"/>
    </row>
    <row r="2785" spans="1:14" x14ac:dyDescent="0.25">
      <c r="A2785" s="63" t="s">
        <v>570</v>
      </c>
      <c r="B2785" s="71" t="s">
        <v>1617</v>
      </c>
      <c r="C2785" s="2">
        <v>4099854235092</v>
      </c>
      <c r="D2785" s="95">
        <v>4099854059759</v>
      </c>
      <c r="E2785" s="96" t="s">
        <v>1302</v>
      </c>
      <c r="G2785" s="156" t="str">
        <f>HYPERLINK("https://ledvance.com/pt/product-datasheet/250981/287077","Ficha Técnica")</f>
        <v>Ficha Técnica</v>
      </c>
      <c r="H2785" s="15">
        <v>10</v>
      </c>
      <c r="I2785" s="163">
        <v>210</v>
      </c>
      <c r="J2785" s="15" t="s">
        <v>1915</v>
      </c>
      <c r="K2785" s="163" t="s">
        <v>46</v>
      </c>
      <c r="L2785" s="15">
        <v>4</v>
      </c>
      <c r="M2785" s="193">
        <v>7.1</v>
      </c>
      <c r="N2785" s="173" t="s">
        <v>571</v>
      </c>
    </row>
    <row r="2786" spans="1:14" x14ac:dyDescent="0.25">
      <c r="A2786" s="63" t="s">
        <v>570</v>
      </c>
      <c r="B2786" s="71" t="s">
        <v>1618</v>
      </c>
      <c r="C2786" s="2">
        <v>4099854235115</v>
      </c>
      <c r="D2786" s="95">
        <v>4099854059773</v>
      </c>
      <c r="E2786" s="96" t="s">
        <v>1303</v>
      </c>
      <c r="G2786" s="156" t="str">
        <f>HYPERLINK("https://ledvance.com/pt/product-datasheet/250981/287122","Ficha Técnica")</f>
        <v>Ficha Técnica</v>
      </c>
      <c r="H2786" s="15">
        <v>10</v>
      </c>
      <c r="I2786" s="163">
        <v>210</v>
      </c>
      <c r="J2786" s="15" t="s">
        <v>1915</v>
      </c>
      <c r="K2786" s="163" t="s">
        <v>46</v>
      </c>
      <c r="L2786" s="15">
        <v>4</v>
      </c>
      <c r="M2786" s="193">
        <v>7.1</v>
      </c>
      <c r="N2786" s="173" t="s">
        <v>571</v>
      </c>
    </row>
    <row r="2787" spans="1:14" x14ac:dyDescent="0.25">
      <c r="A2787" s="63" t="s">
        <v>570</v>
      </c>
      <c r="B2787" s="71" t="s">
        <v>1619</v>
      </c>
      <c r="C2787" s="2">
        <v>4099854235139</v>
      </c>
      <c r="D2787" s="95">
        <v>4099854059797</v>
      </c>
      <c r="E2787" s="96" t="s">
        <v>1304</v>
      </c>
      <c r="G2787" s="156" t="str">
        <f>HYPERLINK("https://ledvance.com/pt/product-datasheet/250981/287125","Ficha Técnica")</f>
        <v>Ficha Técnica</v>
      </c>
      <c r="H2787" s="15">
        <v>10</v>
      </c>
      <c r="I2787" s="163">
        <v>210</v>
      </c>
      <c r="J2787" s="15" t="s">
        <v>1915</v>
      </c>
      <c r="K2787" s="163" t="s">
        <v>46</v>
      </c>
      <c r="L2787" s="15">
        <v>4</v>
      </c>
      <c r="M2787" s="193">
        <v>7.1</v>
      </c>
      <c r="N2787" s="173" t="s">
        <v>571</v>
      </c>
    </row>
    <row r="2788" spans="1:14" x14ac:dyDescent="0.25">
      <c r="A2788" s="63" t="s">
        <v>570</v>
      </c>
      <c r="B2788" s="71" t="s">
        <v>1620</v>
      </c>
      <c r="C2788" s="2">
        <v>4099854068058</v>
      </c>
      <c r="D2788" s="135"/>
      <c r="E2788" s="132"/>
      <c r="F2788" s="25"/>
      <c r="G2788" s="156" t="str">
        <f>HYPERLINK("https://ledvance.com/pt/product-datasheet/250981/238447","Ficha Técnica")</f>
        <v>Ficha Técnica</v>
      </c>
      <c r="H2788" s="15">
        <v>10</v>
      </c>
      <c r="I2788" s="163">
        <v>345</v>
      </c>
      <c r="J2788" s="15" t="s">
        <v>1887</v>
      </c>
      <c r="K2788" s="163" t="s">
        <v>46</v>
      </c>
      <c r="L2788" s="15">
        <v>4</v>
      </c>
      <c r="M2788" s="193">
        <v>7.5</v>
      </c>
      <c r="N2788" s="173" t="s">
        <v>571</v>
      </c>
    </row>
    <row r="2789" spans="1:14" x14ac:dyDescent="0.25">
      <c r="A2789" s="63" t="s">
        <v>570</v>
      </c>
      <c r="B2789" s="71" t="s">
        <v>1621</v>
      </c>
      <c r="C2789" s="2">
        <v>4099854068072</v>
      </c>
      <c r="D2789" s="135"/>
      <c r="E2789" s="132"/>
      <c r="F2789" s="25"/>
      <c r="G2789" s="156" t="str">
        <f>HYPERLINK("https://ledvance.com/pt/product-datasheet/250981/238456","Ficha Técnica")</f>
        <v>Ficha Técnica</v>
      </c>
      <c r="H2789" s="15">
        <v>10</v>
      </c>
      <c r="I2789" s="163">
        <v>345</v>
      </c>
      <c r="J2789" s="15" t="s">
        <v>1887</v>
      </c>
      <c r="K2789" s="163" t="s">
        <v>46</v>
      </c>
      <c r="L2789" s="15">
        <v>4</v>
      </c>
      <c r="M2789" s="193">
        <v>7.5</v>
      </c>
      <c r="N2789" s="173" t="s">
        <v>571</v>
      </c>
    </row>
    <row r="2790" spans="1:14" x14ac:dyDescent="0.25">
      <c r="A2790" s="63" t="s">
        <v>570</v>
      </c>
      <c r="B2790" s="71" t="s">
        <v>1622</v>
      </c>
      <c r="C2790" s="2">
        <v>4099854068096</v>
      </c>
      <c r="D2790" s="135"/>
      <c r="E2790" s="132"/>
      <c r="F2790" s="25"/>
      <c r="G2790" s="156" t="str">
        <f>HYPERLINK("https://ledvance.com/pt/product-datasheet/250981/238459","Ficha Técnica")</f>
        <v>Ficha Técnica</v>
      </c>
      <c r="H2790" s="15">
        <v>10</v>
      </c>
      <c r="I2790" s="163">
        <v>345</v>
      </c>
      <c r="J2790" s="15" t="s">
        <v>1887</v>
      </c>
      <c r="K2790" s="163" t="s">
        <v>46</v>
      </c>
      <c r="L2790" s="15">
        <v>4</v>
      </c>
      <c r="M2790" s="193">
        <v>7.5</v>
      </c>
      <c r="N2790" s="173" t="s">
        <v>571</v>
      </c>
    </row>
    <row r="2791" spans="1:14" x14ac:dyDescent="0.25">
      <c r="A2791" s="63" t="s">
        <v>570</v>
      </c>
      <c r="B2791" s="71" t="s">
        <v>1623</v>
      </c>
      <c r="C2791" s="2">
        <v>4099854047817</v>
      </c>
      <c r="D2791" s="135"/>
      <c r="E2791" s="132"/>
      <c r="F2791" s="25"/>
      <c r="G2791" s="156" t="str">
        <f>HYPERLINK("https://ledvance.com/pt/product-datasheet/250981/235833","Ficha Técnica")</f>
        <v>Ficha Técnica</v>
      </c>
      <c r="H2791" s="15">
        <v>10</v>
      </c>
      <c r="I2791" s="163">
        <v>621</v>
      </c>
      <c r="J2791" s="15" t="s">
        <v>1893</v>
      </c>
      <c r="K2791" s="163" t="s">
        <v>46</v>
      </c>
      <c r="L2791" s="15">
        <v>4</v>
      </c>
      <c r="M2791" s="193">
        <v>12.4</v>
      </c>
      <c r="N2791" s="173" t="s">
        <v>571</v>
      </c>
    </row>
    <row r="2792" spans="1:14" x14ac:dyDescent="0.25">
      <c r="A2792" s="63" t="s">
        <v>570</v>
      </c>
      <c r="B2792" s="71" t="s">
        <v>1624</v>
      </c>
      <c r="C2792" s="2">
        <v>4099854047992</v>
      </c>
      <c r="D2792" s="135"/>
      <c r="E2792" s="132"/>
      <c r="F2792" s="25"/>
      <c r="G2792" s="156" t="str">
        <f>HYPERLINK("https://ledvance.com/pt/product-datasheet/250981/235860","Ficha Técnica")</f>
        <v>Ficha Técnica</v>
      </c>
      <c r="H2792" s="15">
        <v>10</v>
      </c>
      <c r="I2792" s="163">
        <v>621</v>
      </c>
      <c r="J2792" s="15" t="s">
        <v>1893</v>
      </c>
      <c r="K2792" s="163" t="s">
        <v>46</v>
      </c>
      <c r="L2792" s="15">
        <v>4</v>
      </c>
      <c r="M2792" s="193">
        <v>12.4</v>
      </c>
      <c r="N2792" s="173" t="s">
        <v>571</v>
      </c>
    </row>
    <row r="2793" spans="1:14" x14ac:dyDescent="0.25">
      <c r="A2793" s="63" t="s">
        <v>570</v>
      </c>
      <c r="B2793" s="71" t="s">
        <v>1625</v>
      </c>
      <c r="C2793" s="2">
        <v>4099854048036</v>
      </c>
      <c r="D2793" s="135"/>
      <c r="E2793" s="132"/>
      <c r="F2793" s="25"/>
      <c r="G2793" s="156" t="str">
        <f>HYPERLINK("https://ledvance.com/pt/product-datasheet/250981/235879","Ficha Técnica")</f>
        <v>Ficha Técnica</v>
      </c>
      <c r="H2793" s="15">
        <v>10</v>
      </c>
      <c r="I2793" s="163">
        <v>621</v>
      </c>
      <c r="J2793" s="15" t="s">
        <v>1893</v>
      </c>
      <c r="K2793" s="163" t="s">
        <v>46</v>
      </c>
      <c r="L2793" s="15">
        <v>4</v>
      </c>
      <c r="M2793" s="193">
        <v>12.4</v>
      </c>
      <c r="N2793" s="173" t="s">
        <v>571</v>
      </c>
    </row>
    <row r="2794" spans="1:14" x14ac:dyDescent="0.25">
      <c r="A2794" s="66" t="s">
        <v>570</v>
      </c>
      <c r="B2794" s="73" t="s">
        <v>819</v>
      </c>
      <c r="C2794" s="52"/>
      <c r="D2794" s="65"/>
      <c r="E2794" s="92"/>
      <c r="F2794" s="12"/>
      <c r="G2794" s="157"/>
      <c r="H2794" s="12"/>
      <c r="I2794" s="62"/>
      <c r="J2794" s="27"/>
      <c r="K2794" s="62"/>
      <c r="L2794" s="12"/>
      <c r="M2794" s="191"/>
      <c r="N2794" s="130"/>
    </row>
    <row r="2795" spans="1:14" x14ac:dyDescent="0.25">
      <c r="A2795" s="63" t="s">
        <v>570</v>
      </c>
      <c r="B2795" s="71" t="s">
        <v>1626</v>
      </c>
      <c r="C2795" s="2">
        <v>4099854235184</v>
      </c>
      <c r="D2795" s="95">
        <v>4099854103544</v>
      </c>
      <c r="E2795" s="96" t="s">
        <v>1301</v>
      </c>
      <c r="G2795" s="156" t="str">
        <f>HYPERLINK("https://ledvance.com/pt/product-datasheet/250981/287131","Ficha Técnica")</f>
        <v>Ficha Técnica</v>
      </c>
      <c r="H2795" s="15">
        <v>10</v>
      </c>
      <c r="I2795" s="163">
        <v>210</v>
      </c>
      <c r="J2795" s="15" t="s">
        <v>1915</v>
      </c>
      <c r="K2795" s="163" t="s">
        <v>46</v>
      </c>
      <c r="L2795" s="15">
        <v>4</v>
      </c>
      <c r="M2795" s="193">
        <v>7.1</v>
      </c>
      <c r="N2795" s="173" t="s">
        <v>571</v>
      </c>
    </row>
    <row r="2796" spans="1:14" x14ac:dyDescent="0.25">
      <c r="A2796" s="63" t="s">
        <v>570</v>
      </c>
      <c r="B2796" s="71" t="s">
        <v>1627</v>
      </c>
      <c r="C2796" s="2">
        <v>4099854103568</v>
      </c>
      <c r="D2796" s="118"/>
      <c r="E2796" s="132"/>
      <c r="F2796" s="25"/>
      <c r="G2796" s="156" t="str">
        <f>HYPERLINK("https://ledvance.com/pt/product-datasheet/250981/250393","Ficha Técnica")</f>
        <v>Ficha Técnica</v>
      </c>
      <c r="H2796" s="15">
        <v>10</v>
      </c>
      <c r="I2796" s="163">
        <v>396</v>
      </c>
      <c r="J2796" s="15" t="s">
        <v>1911</v>
      </c>
      <c r="K2796" s="163" t="s">
        <v>46</v>
      </c>
      <c r="L2796" s="15">
        <v>4</v>
      </c>
      <c r="M2796" s="193">
        <v>7.4</v>
      </c>
      <c r="N2796" s="173" t="s">
        <v>571</v>
      </c>
    </row>
    <row r="2797" spans="1:14" x14ac:dyDescent="0.25">
      <c r="A2797" s="63" t="s">
        <v>570</v>
      </c>
      <c r="B2797" s="71" t="s">
        <v>1628</v>
      </c>
      <c r="C2797" s="2">
        <v>4099854103582</v>
      </c>
      <c r="D2797" s="118"/>
      <c r="E2797" s="132"/>
      <c r="F2797" s="25"/>
      <c r="G2797" s="156" t="str">
        <f>HYPERLINK("https://ledvance.com/pt/product-datasheet/250981/250396","Ficha Técnica")</f>
        <v>Ficha Técnica</v>
      </c>
      <c r="H2797" s="15">
        <v>10</v>
      </c>
      <c r="I2797" s="163">
        <v>630</v>
      </c>
      <c r="J2797" s="15" t="s">
        <v>1893</v>
      </c>
      <c r="K2797" s="163" t="s">
        <v>46</v>
      </c>
      <c r="L2797" s="15">
        <v>4</v>
      </c>
      <c r="M2797" s="193">
        <v>12.4</v>
      </c>
      <c r="N2797" s="173" t="s">
        <v>571</v>
      </c>
    </row>
    <row r="2798" spans="1:14" x14ac:dyDescent="0.25">
      <c r="A2798" s="66" t="s">
        <v>570</v>
      </c>
      <c r="B2798" s="73" t="s">
        <v>820</v>
      </c>
      <c r="C2798" s="52"/>
      <c r="D2798" s="65"/>
      <c r="E2798" s="92"/>
      <c r="F2798" s="12"/>
      <c r="G2798" s="157"/>
      <c r="H2798" s="12"/>
      <c r="I2798" s="62"/>
      <c r="J2798" s="27"/>
      <c r="K2798" s="62"/>
      <c r="L2798" s="12"/>
      <c r="M2798" s="191"/>
      <c r="N2798" s="130"/>
    </row>
    <row r="2799" spans="1:14" x14ac:dyDescent="0.25">
      <c r="A2799" s="63" t="s">
        <v>570</v>
      </c>
      <c r="B2799" s="71" t="s">
        <v>1629</v>
      </c>
      <c r="C2799" s="2">
        <v>4099854050268</v>
      </c>
      <c r="D2799" s="118"/>
      <c r="E2799" s="119"/>
      <c r="F2799" s="25"/>
      <c r="G2799" s="156" t="str">
        <f>HYPERLINK("https://ledvance.com/pt/product-datasheet/250976/235952","Ficha Técnica")</f>
        <v>Ficha Técnica</v>
      </c>
      <c r="H2799" s="15">
        <v>10</v>
      </c>
      <c r="I2799" s="163">
        <v>345</v>
      </c>
      <c r="J2799" s="15" t="s">
        <v>1903</v>
      </c>
      <c r="K2799" s="163" t="s">
        <v>46</v>
      </c>
      <c r="L2799" s="15">
        <v>5</v>
      </c>
      <c r="M2799" s="193">
        <v>12.6</v>
      </c>
      <c r="N2799" s="173" t="s">
        <v>571</v>
      </c>
    </row>
    <row r="2800" spans="1:14" x14ac:dyDescent="0.25">
      <c r="A2800" s="63" t="s">
        <v>570</v>
      </c>
      <c r="B2800" s="71" t="s">
        <v>1630</v>
      </c>
      <c r="C2800" s="2">
        <v>4099854050206</v>
      </c>
      <c r="D2800" s="118"/>
      <c r="E2800" s="119"/>
      <c r="F2800" s="25"/>
      <c r="G2800" s="156" t="str">
        <f>HYPERLINK("https://ledvance.com/pt/product-datasheet/250976/235944","Ficha Técnica")</f>
        <v>Ficha Técnica</v>
      </c>
      <c r="H2800" s="15">
        <v>10</v>
      </c>
      <c r="I2800" s="163">
        <v>184</v>
      </c>
      <c r="J2800" s="15" t="s">
        <v>1896</v>
      </c>
      <c r="K2800" s="163" t="s">
        <v>46</v>
      </c>
      <c r="L2800" s="15">
        <v>5</v>
      </c>
      <c r="M2800" s="193">
        <v>9.6</v>
      </c>
      <c r="N2800" s="173" t="s">
        <v>571</v>
      </c>
    </row>
    <row r="2801" spans="1:14" x14ac:dyDescent="0.25">
      <c r="A2801" s="66" t="s">
        <v>570</v>
      </c>
      <c r="B2801" s="73" t="s">
        <v>821</v>
      </c>
      <c r="C2801" s="52"/>
      <c r="D2801" s="65"/>
      <c r="E2801" s="92"/>
      <c r="F2801" s="12"/>
      <c r="G2801" s="157"/>
      <c r="H2801" s="12"/>
      <c r="I2801" s="62"/>
      <c r="J2801" s="27"/>
      <c r="K2801" s="62"/>
      <c r="L2801" s="12"/>
      <c r="M2801" s="191"/>
      <c r="N2801" s="130"/>
    </row>
    <row r="2802" spans="1:14" x14ac:dyDescent="0.25">
      <c r="A2802" s="63" t="s">
        <v>570</v>
      </c>
      <c r="B2802" s="71" t="s">
        <v>1631</v>
      </c>
      <c r="C2802" s="2">
        <v>4099854235320</v>
      </c>
      <c r="D2802" s="95">
        <v>4099854070365</v>
      </c>
      <c r="E2802" s="96" t="s">
        <v>1306</v>
      </c>
      <c r="G2802" s="156" t="str">
        <f>HYPERLINK("https://ledvance.com/pt/product-datasheet/250940/287089","Ficha Técnica")</f>
        <v>Ficha Técnica</v>
      </c>
      <c r="H2802" s="15">
        <v>10</v>
      </c>
      <c r="I2802" s="163">
        <v>184</v>
      </c>
      <c r="J2802" s="15" t="s">
        <v>1898</v>
      </c>
      <c r="K2802" s="163" t="s">
        <v>46</v>
      </c>
      <c r="L2802" s="15">
        <v>4</v>
      </c>
      <c r="M2802" s="193">
        <v>8.1999999999999993</v>
      </c>
      <c r="N2802" s="173" t="s">
        <v>571</v>
      </c>
    </row>
    <row r="2803" spans="1:14" x14ac:dyDescent="0.25">
      <c r="A2803" s="63" t="s">
        <v>570</v>
      </c>
      <c r="B2803" s="71" t="s">
        <v>1632</v>
      </c>
      <c r="C2803" s="2">
        <v>4099854246371</v>
      </c>
      <c r="D2803" s="95">
        <v>4099854070396</v>
      </c>
      <c r="E2803" s="96" t="s">
        <v>1307</v>
      </c>
      <c r="G2803" s="156" t="str">
        <f>HYPERLINK("https://ledvance.com/pt/product-datasheet/250940/288164","Ficha Técnica")</f>
        <v>Ficha Técnica</v>
      </c>
      <c r="H2803" s="15">
        <v>10</v>
      </c>
      <c r="I2803" s="163">
        <v>184</v>
      </c>
      <c r="J2803" s="15" t="s">
        <v>1898</v>
      </c>
      <c r="K2803" s="163" t="s">
        <v>46</v>
      </c>
      <c r="L2803" s="15">
        <v>4</v>
      </c>
      <c r="M2803" s="193">
        <v>8.1999999999999993</v>
      </c>
      <c r="N2803" s="173" t="s">
        <v>571</v>
      </c>
    </row>
    <row r="2804" spans="1:14" x14ac:dyDescent="0.25">
      <c r="A2804" s="63" t="s">
        <v>570</v>
      </c>
      <c r="B2804" s="71" t="s">
        <v>1633</v>
      </c>
      <c r="C2804" s="2">
        <v>4099854050329</v>
      </c>
      <c r="D2804" s="118"/>
      <c r="E2804" s="119"/>
      <c r="F2804" s="25"/>
      <c r="G2804" s="156" t="str">
        <f>HYPERLINK("https://ledvance.com/pt/product-datasheet/250940/235821","Ficha Técnica")</f>
        <v>Ficha Técnica</v>
      </c>
      <c r="H2804" s="15">
        <v>10</v>
      </c>
      <c r="I2804" s="163">
        <v>345</v>
      </c>
      <c r="J2804" s="15" t="s">
        <v>1885</v>
      </c>
      <c r="K2804" s="163" t="s">
        <v>46</v>
      </c>
      <c r="L2804" s="15">
        <v>4</v>
      </c>
      <c r="M2804" s="193">
        <v>10.1</v>
      </c>
      <c r="N2804" s="173" t="s">
        <v>571</v>
      </c>
    </row>
    <row r="2805" spans="1:14" x14ac:dyDescent="0.25">
      <c r="A2805" s="63" t="s">
        <v>570</v>
      </c>
      <c r="B2805" s="71" t="s">
        <v>1634</v>
      </c>
      <c r="C2805" s="2">
        <v>4099854050350</v>
      </c>
      <c r="D2805" s="118"/>
      <c r="E2805" s="119"/>
      <c r="F2805" s="25"/>
      <c r="G2805" s="156" t="str">
        <f>HYPERLINK("https://ledvance.com/pt/product-datasheet/250940/235829","Ficha Técnica")</f>
        <v>Ficha Técnica</v>
      </c>
      <c r="H2805" s="15">
        <v>10</v>
      </c>
      <c r="I2805" s="163">
        <v>345</v>
      </c>
      <c r="J2805" s="15" t="s">
        <v>1885</v>
      </c>
      <c r="K2805" s="163" t="s">
        <v>46</v>
      </c>
      <c r="L2805" s="15">
        <v>4</v>
      </c>
      <c r="M2805" s="193">
        <v>10.1</v>
      </c>
      <c r="N2805" s="173" t="s">
        <v>571</v>
      </c>
    </row>
    <row r="2806" spans="1:14" x14ac:dyDescent="0.25">
      <c r="A2806" s="66" t="s">
        <v>570</v>
      </c>
      <c r="B2806" s="73" t="s">
        <v>822</v>
      </c>
      <c r="C2806" s="52"/>
      <c r="D2806" s="65"/>
      <c r="E2806" s="92"/>
      <c r="F2806" s="12"/>
      <c r="G2806" s="157"/>
      <c r="H2806" s="12"/>
      <c r="I2806" s="62"/>
      <c r="J2806" s="27"/>
      <c r="K2806" s="62"/>
      <c r="L2806" s="12"/>
      <c r="M2806" s="191"/>
      <c r="N2806" s="130"/>
    </row>
    <row r="2807" spans="1:14" x14ac:dyDescent="0.25">
      <c r="A2807" s="63" t="s">
        <v>570</v>
      </c>
      <c r="B2807" s="71" t="s">
        <v>823</v>
      </c>
      <c r="C2807" s="2">
        <v>4058075433441</v>
      </c>
      <c r="D2807" s="118"/>
      <c r="E2807" s="132"/>
      <c r="F2807" s="25"/>
      <c r="G2807" s="156" t="str">
        <f>HYPERLINK("https://ledvance.com/pt/product-datasheet/6976/112395","Ficha Técnica")</f>
        <v>Ficha Técnica</v>
      </c>
      <c r="H2807" s="15">
        <v>10</v>
      </c>
      <c r="I2807" s="163">
        <v>470</v>
      </c>
      <c r="J2807" s="15">
        <v>6</v>
      </c>
      <c r="K2807" s="163" t="s">
        <v>46</v>
      </c>
      <c r="L2807" s="15">
        <v>3</v>
      </c>
      <c r="M2807" s="193">
        <v>6.4</v>
      </c>
      <c r="N2807" s="173" t="s">
        <v>571</v>
      </c>
    </row>
    <row r="2808" spans="1:14" x14ac:dyDescent="0.25">
      <c r="A2808" s="63" t="s">
        <v>570</v>
      </c>
      <c r="B2808" s="71" t="s">
        <v>824</v>
      </c>
      <c r="C2808" s="2">
        <v>4058075433465</v>
      </c>
      <c r="D2808" s="118"/>
      <c r="E2808" s="132"/>
      <c r="F2808" s="25"/>
      <c r="G2808" s="156" t="str">
        <f>HYPERLINK("https://ledvance.com/pt/product-datasheet/6976/112408","Ficha Técnica")</f>
        <v>Ficha Técnica</v>
      </c>
      <c r="H2808" s="15">
        <v>10</v>
      </c>
      <c r="I2808" s="163">
        <v>470</v>
      </c>
      <c r="J2808" s="15">
        <v>6</v>
      </c>
      <c r="K2808" s="163" t="s">
        <v>46</v>
      </c>
      <c r="L2808" s="15">
        <v>3</v>
      </c>
      <c r="M2808" s="193">
        <v>6.4</v>
      </c>
      <c r="N2808" s="173" t="s">
        <v>571</v>
      </c>
    </row>
    <row r="2809" spans="1:14" x14ac:dyDescent="0.25">
      <c r="A2809" s="66" t="s">
        <v>570</v>
      </c>
      <c r="B2809" s="73" t="s">
        <v>825</v>
      </c>
      <c r="C2809" s="52"/>
      <c r="D2809" s="65"/>
      <c r="E2809" s="92"/>
      <c r="F2809" s="12"/>
      <c r="G2809" s="157"/>
      <c r="H2809" s="12"/>
      <c r="I2809" s="62"/>
      <c r="J2809" s="27"/>
      <c r="K2809" s="62"/>
      <c r="L2809" s="12"/>
      <c r="M2809" s="191"/>
      <c r="N2809" s="130"/>
    </row>
    <row r="2810" spans="1:14" x14ac:dyDescent="0.25">
      <c r="A2810" s="63" t="s">
        <v>570</v>
      </c>
      <c r="B2810" s="71" t="s">
        <v>826</v>
      </c>
      <c r="C2810" s="2">
        <v>4099854048524</v>
      </c>
      <c r="D2810" s="135"/>
      <c r="E2810" s="132"/>
      <c r="F2810" s="25"/>
      <c r="G2810" s="156" t="str">
        <f>HYPERLINK("https://ledvance.com/pt/product-datasheet/250926/235861","Ficha Técnica")</f>
        <v>Ficha Técnica</v>
      </c>
      <c r="H2810" s="15">
        <v>6</v>
      </c>
      <c r="I2810" s="163">
        <v>450</v>
      </c>
      <c r="J2810" s="15" t="s">
        <v>1916</v>
      </c>
      <c r="K2810" s="163" t="s">
        <v>46</v>
      </c>
      <c r="L2810" s="15">
        <v>5</v>
      </c>
      <c r="M2810" s="193">
        <v>32.200000000000003</v>
      </c>
      <c r="N2810" s="173" t="s">
        <v>571</v>
      </c>
    </row>
    <row r="2811" spans="1:14" x14ac:dyDescent="0.25">
      <c r="A2811" s="63" t="s">
        <v>570</v>
      </c>
      <c r="B2811" s="71" t="s">
        <v>827</v>
      </c>
      <c r="C2811" s="2">
        <v>4099854048548</v>
      </c>
      <c r="D2811" s="135"/>
      <c r="E2811" s="132"/>
      <c r="F2811" s="25"/>
      <c r="G2811" s="156" t="str">
        <f>HYPERLINK("https://ledvance.com/pt/product-datasheet/250926/235867","Ficha Técnica")</f>
        <v>Ficha Técnica</v>
      </c>
      <c r="H2811" s="15">
        <v>6</v>
      </c>
      <c r="I2811" s="163">
        <v>450</v>
      </c>
      <c r="J2811" s="15" t="s">
        <v>1916</v>
      </c>
      <c r="K2811" s="163" t="s">
        <v>46</v>
      </c>
      <c r="L2811" s="15">
        <v>5</v>
      </c>
      <c r="M2811" s="193">
        <v>32.200000000000003</v>
      </c>
      <c r="N2811" s="173" t="s">
        <v>571</v>
      </c>
    </row>
    <row r="2812" spans="1:14" x14ac:dyDescent="0.25">
      <c r="A2812" s="63" t="s">
        <v>570</v>
      </c>
      <c r="B2812" s="71" t="s">
        <v>827</v>
      </c>
      <c r="C2812" s="2">
        <v>4099854048845</v>
      </c>
      <c r="D2812" s="135"/>
      <c r="E2812" s="132"/>
      <c r="F2812" s="25"/>
      <c r="G2812" s="156" t="str">
        <f>HYPERLINK("https://ledvance.com/pt/product-datasheet/250926/235882","Ficha Técnica")</f>
        <v>Ficha Técnica</v>
      </c>
      <c r="H2812" s="15">
        <v>6</v>
      </c>
      <c r="I2812" s="163">
        <v>450</v>
      </c>
      <c r="J2812" s="15" t="s">
        <v>1916</v>
      </c>
      <c r="K2812" s="163" t="s">
        <v>46</v>
      </c>
      <c r="L2812" s="15">
        <v>5</v>
      </c>
      <c r="M2812" s="193">
        <v>32.1</v>
      </c>
      <c r="N2812" s="173" t="s">
        <v>571</v>
      </c>
    </row>
    <row r="2813" spans="1:14" x14ac:dyDescent="0.25">
      <c r="A2813" s="63" t="s">
        <v>570</v>
      </c>
      <c r="B2813" s="71" t="s">
        <v>826</v>
      </c>
      <c r="C2813" s="2">
        <v>4099854048708</v>
      </c>
      <c r="D2813" s="135"/>
      <c r="E2813" s="132"/>
      <c r="F2813" s="25"/>
      <c r="G2813" s="156" t="str">
        <f>HYPERLINK("https://ledvance.com/pt/product-datasheet/250926/235875","Ficha Técnica")</f>
        <v>Ficha Técnica</v>
      </c>
      <c r="H2813" s="15">
        <v>6</v>
      </c>
      <c r="I2813" s="163">
        <v>450</v>
      </c>
      <c r="J2813" s="15" t="s">
        <v>1916</v>
      </c>
      <c r="K2813" s="163" t="s">
        <v>46</v>
      </c>
      <c r="L2813" s="15">
        <v>5</v>
      </c>
      <c r="M2813" s="193">
        <v>32.1</v>
      </c>
      <c r="N2813" s="173" t="s">
        <v>571</v>
      </c>
    </row>
    <row r="2814" spans="1:14" x14ac:dyDescent="0.25">
      <c r="A2814" s="63" t="s">
        <v>570</v>
      </c>
      <c r="B2814" s="71" t="s">
        <v>828</v>
      </c>
      <c r="C2814" s="2">
        <v>4099854048982</v>
      </c>
      <c r="D2814" s="135"/>
      <c r="E2814" s="132"/>
      <c r="F2814" s="25"/>
      <c r="G2814" s="156" t="str">
        <f>HYPERLINK("https://ledvance.com/pt/product-datasheet/250926/235888","Ficha Técnica")</f>
        <v>Ficha Técnica</v>
      </c>
      <c r="H2814" s="15">
        <v>6</v>
      </c>
      <c r="I2814" s="163">
        <v>800</v>
      </c>
      <c r="J2814" s="15" t="s">
        <v>1917</v>
      </c>
      <c r="K2814" s="163" t="s">
        <v>46</v>
      </c>
      <c r="L2814" s="15">
        <v>5</v>
      </c>
      <c r="M2814" s="193">
        <v>38.5</v>
      </c>
      <c r="N2814" s="173" t="s">
        <v>571</v>
      </c>
    </row>
    <row r="2815" spans="1:14" x14ac:dyDescent="0.25">
      <c r="A2815" s="63" t="s">
        <v>570</v>
      </c>
      <c r="B2815" s="71" t="s">
        <v>829</v>
      </c>
      <c r="C2815" s="2">
        <v>4099854049040</v>
      </c>
      <c r="D2815" s="135"/>
      <c r="E2815" s="132"/>
      <c r="F2815" s="25"/>
      <c r="G2815" s="156" t="str">
        <f>HYPERLINK("https://ledvance.com/pt/product-datasheet/250926/235895","Ficha Técnica")</f>
        <v>Ficha Técnica</v>
      </c>
      <c r="H2815" s="15">
        <v>6</v>
      </c>
      <c r="I2815" s="163">
        <v>800</v>
      </c>
      <c r="J2815" s="15" t="s">
        <v>1917</v>
      </c>
      <c r="K2815" s="163" t="s">
        <v>46</v>
      </c>
      <c r="L2815" s="15">
        <v>5</v>
      </c>
      <c r="M2815" s="193">
        <v>38.5</v>
      </c>
      <c r="N2815" s="173" t="s">
        <v>571</v>
      </c>
    </row>
    <row r="2816" spans="1:14" x14ac:dyDescent="0.25">
      <c r="A2816" s="63" t="s">
        <v>570</v>
      </c>
      <c r="B2816" s="71" t="s">
        <v>830</v>
      </c>
      <c r="C2816" s="2">
        <v>4099854049064</v>
      </c>
      <c r="D2816" s="103"/>
      <c r="E2816" s="132"/>
      <c r="F2816" s="25"/>
      <c r="G2816" s="156" t="str">
        <f>HYPERLINK("https://ledvance.com/pt/product-datasheet/250926/235901","Ficha Técnica")</f>
        <v>Ficha Técnica</v>
      </c>
      <c r="H2816" s="15">
        <v>6</v>
      </c>
      <c r="I2816" s="163">
        <v>800</v>
      </c>
      <c r="J2816" s="15" t="s">
        <v>1917</v>
      </c>
      <c r="K2816" s="163" t="s">
        <v>46</v>
      </c>
      <c r="L2816" s="15">
        <v>5</v>
      </c>
      <c r="M2816" s="193">
        <v>38.5</v>
      </c>
      <c r="N2816" s="173" t="s">
        <v>571</v>
      </c>
    </row>
    <row r="2817" spans="1:14" x14ac:dyDescent="0.25">
      <c r="A2817" s="63" t="s">
        <v>570</v>
      </c>
      <c r="B2817" s="71" t="s">
        <v>828</v>
      </c>
      <c r="C2817" s="2">
        <v>4099854049125</v>
      </c>
      <c r="D2817" s="135"/>
      <c r="E2817" s="132"/>
      <c r="F2817" s="25"/>
      <c r="G2817" s="156" t="str">
        <f>HYPERLINK("https://ledvance.com/pt/product-datasheet/250926/235908","Ficha Técnica")</f>
        <v>Ficha Técnica</v>
      </c>
      <c r="H2817" s="15">
        <v>6</v>
      </c>
      <c r="I2817" s="163">
        <v>800</v>
      </c>
      <c r="J2817" s="15" t="s">
        <v>1917</v>
      </c>
      <c r="K2817" s="163" t="s">
        <v>46</v>
      </c>
      <c r="L2817" s="15">
        <v>5</v>
      </c>
      <c r="M2817" s="193">
        <v>38.5</v>
      </c>
      <c r="N2817" s="173" t="s">
        <v>571</v>
      </c>
    </row>
    <row r="2818" spans="1:14" x14ac:dyDescent="0.25">
      <c r="A2818" s="63" t="s">
        <v>570</v>
      </c>
      <c r="B2818" s="71" t="s">
        <v>829</v>
      </c>
      <c r="C2818" s="2">
        <v>4099854049163</v>
      </c>
      <c r="D2818" s="135"/>
      <c r="E2818" s="132"/>
      <c r="F2818" s="25"/>
      <c r="G2818" s="156" t="str">
        <f>HYPERLINK("https://ledvance.com/pt/product-datasheet/250926/235915","Ficha Técnica")</f>
        <v>Ficha Técnica</v>
      </c>
      <c r="H2818" s="15">
        <v>6</v>
      </c>
      <c r="I2818" s="163">
        <v>800</v>
      </c>
      <c r="J2818" s="15" t="s">
        <v>1917</v>
      </c>
      <c r="K2818" s="163" t="s">
        <v>46</v>
      </c>
      <c r="L2818" s="15">
        <v>5</v>
      </c>
      <c r="M2818" s="193">
        <v>38.5</v>
      </c>
      <c r="N2818" s="173" t="s">
        <v>571</v>
      </c>
    </row>
    <row r="2819" spans="1:14" x14ac:dyDescent="0.25">
      <c r="A2819" s="63" t="s">
        <v>570</v>
      </c>
      <c r="B2819" s="71" t="s">
        <v>831</v>
      </c>
      <c r="C2819" s="2">
        <v>4099854070655</v>
      </c>
      <c r="D2819" s="135"/>
      <c r="E2819" s="132"/>
      <c r="F2819" s="25"/>
      <c r="G2819" s="156" t="str">
        <f>HYPERLINK("https://ledvance.com/pt/product-datasheet/250926/239188","Ficha Técnica")</f>
        <v>Ficha Técnica</v>
      </c>
      <c r="H2819" s="15">
        <v>6</v>
      </c>
      <c r="I2819" s="163">
        <v>950</v>
      </c>
      <c r="J2819" s="15" t="s">
        <v>1865</v>
      </c>
      <c r="K2819" s="163" t="s">
        <v>46</v>
      </c>
      <c r="L2819" s="15">
        <v>5</v>
      </c>
      <c r="M2819" s="193">
        <v>42.8</v>
      </c>
      <c r="N2819" s="173" t="s">
        <v>571</v>
      </c>
    </row>
    <row r="2820" spans="1:14" x14ac:dyDescent="0.25">
      <c r="A2820" s="66" t="s">
        <v>570</v>
      </c>
      <c r="B2820" s="73" t="s">
        <v>832</v>
      </c>
      <c r="C2820" s="52"/>
      <c r="D2820" s="65"/>
      <c r="E2820" s="92"/>
      <c r="F2820" s="12"/>
      <c r="G2820" s="157"/>
      <c r="H2820" s="12"/>
      <c r="I2820" s="62"/>
      <c r="J2820" s="27"/>
      <c r="K2820" s="62"/>
      <c r="L2820" s="12"/>
      <c r="M2820" s="191"/>
      <c r="N2820" s="130"/>
    </row>
    <row r="2821" spans="1:14" x14ac:dyDescent="0.25">
      <c r="A2821" s="63" t="s">
        <v>570</v>
      </c>
      <c r="B2821" s="74" t="s">
        <v>1635</v>
      </c>
      <c r="C2821" s="2">
        <v>4099854071133</v>
      </c>
      <c r="D2821" s="136"/>
      <c r="E2821" s="137"/>
      <c r="F2821" s="31"/>
      <c r="G2821" s="156" t="str">
        <f>HYPERLINK("https://ledvance.com/pt/product-datasheet/251088/239219","Ficha Técnica")</f>
        <v>Ficha Técnica</v>
      </c>
      <c r="H2821" s="15">
        <v>6</v>
      </c>
      <c r="I2821" s="163">
        <v>350</v>
      </c>
      <c r="J2821" s="15" t="s">
        <v>1918</v>
      </c>
      <c r="K2821" s="163" t="s">
        <v>46</v>
      </c>
      <c r="L2821" s="15">
        <v>5</v>
      </c>
      <c r="M2821" s="193">
        <v>9.3000000000000007</v>
      </c>
      <c r="N2821" s="173" t="s">
        <v>571</v>
      </c>
    </row>
    <row r="2822" spans="1:14" x14ac:dyDescent="0.25">
      <c r="A2822" s="63" t="s">
        <v>570</v>
      </c>
      <c r="B2822" s="74" t="s">
        <v>1636</v>
      </c>
      <c r="C2822" s="2">
        <v>4099854071195</v>
      </c>
      <c r="D2822" s="136"/>
      <c r="E2822" s="137"/>
      <c r="F2822" s="31"/>
      <c r="G2822" s="156" t="str">
        <f>HYPERLINK("https://ledvance.com/pt/product-datasheet/251219/239222","Ficha Técnica")</f>
        <v>Ficha Técnica</v>
      </c>
      <c r="H2822" s="15">
        <v>6</v>
      </c>
      <c r="I2822" s="163">
        <v>633</v>
      </c>
      <c r="J2822" s="15">
        <v>10</v>
      </c>
      <c r="K2822" s="163" t="s">
        <v>46</v>
      </c>
      <c r="L2822" s="15">
        <v>5</v>
      </c>
      <c r="M2822" s="193">
        <v>17.399999999999999</v>
      </c>
      <c r="N2822" s="173" t="s">
        <v>571</v>
      </c>
    </row>
    <row r="2823" spans="1:14" x14ac:dyDescent="0.25">
      <c r="A2823" s="63" t="s">
        <v>570</v>
      </c>
      <c r="B2823" s="74" t="s">
        <v>1637</v>
      </c>
      <c r="C2823" s="2">
        <v>4099854071270</v>
      </c>
      <c r="D2823" s="136"/>
      <c r="E2823" s="137"/>
      <c r="F2823" s="31"/>
      <c r="G2823" s="156" t="str">
        <f>HYPERLINK("https://ledvance.com/pt/product-datasheet/251228/239225","Ficha Técnica")</f>
        <v>Ficha Técnica</v>
      </c>
      <c r="H2823" s="15">
        <v>6</v>
      </c>
      <c r="I2823" s="163">
        <v>1035</v>
      </c>
      <c r="J2823" s="15" t="s">
        <v>1919</v>
      </c>
      <c r="K2823" s="163" t="s">
        <v>138</v>
      </c>
      <c r="L2823" s="15">
        <v>5</v>
      </c>
      <c r="M2823" s="193">
        <v>26.2</v>
      </c>
      <c r="N2823" s="173" t="s">
        <v>571</v>
      </c>
    </row>
    <row r="2824" spans="1:14" x14ac:dyDescent="0.25">
      <c r="A2824" s="63" t="s">
        <v>570</v>
      </c>
      <c r="B2824" s="74" t="s">
        <v>1638</v>
      </c>
      <c r="C2824" s="2">
        <v>4099854067808</v>
      </c>
      <c r="D2824" s="136"/>
      <c r="E2824" s="137"/>
      <c r="F2824" s="31"/>
      <c r="G2824" s="156" t="str">
        <f>HYPERLINK("https://ledvance.com/pt/product-datasheet/251224/238441","Ficha Técnica")</f>
        <v>Ficha Técnica</v>
      </c>
      <c r="H2824" s="15">
        <v>6</v>
      </c>
      <c r="I2824" s="163">
        <v>1035</v>
      </c>
      <c r="J2824" s="15" t="s">
        <v>1865</v>
      </c>
      <c r="K2824" s="163" t="s">
        <v>138</v>
      </c>
      <c r="L2824" s="15">
        <v>4</v>
      </c>
      <c r="M2824" s="193">
        <v>19.2</v>
      </c>
      <c r="N2824" s="173" t="s">
        <v>571</v>
      </c>
    </row>
    <row r="2825" spans="1:14" x14ac:dyDescent="0.25">
      <c r="A2825" s="63" t="s">
        <v>570</v>
      </c>
      <c r="B2825" s="74" t="s">
        <v>1639</v>
      </c>
      <c r="C2825" s="2">
        <v>4099854067822</v>
      </c>
      <c r="D2825" s="136"/>
      <c r="E2825" s="137"/>
      <c r="F2825" s="31"/>
      <c r="G2825" s="156" t="str">
        <f>HYPERLINK("https://ledvance.com/pt/product-datasheet/251224/238444","Ficha Técnica")</f>
        <v>Ficha Técnica</v>
      </c>
      <c r="H2825" s="15">
        <v>6</v>
      </c>
      <c r="I2825" s="163">
        <v>1035</v>
      </c>
      <c r="J2825" s="15" t="s">
        <v>1865</v>
      </c>
      <c r="K2825" s="163" t="s">
        <v>138</v>
      </c>
      <c r="L2825" s="15">
        <v>4</v>
      </c>
      <c r="M2825" s="193">
        <v>19.2</v>
      </c>
      <c r="N2825" s="173" t="s">
        <v>571</v>
      </c>
    </row>
    <row r="2826" spans="1:14" x14ac:dyDescent="0.25">
      <c r="A2826" s="66" t="s">
        <v>570</v>
      </c>
      <c r="B2826" s="73" t="s">
        <v>833</v>
      </c>
      <c r="C2826" s="52"/>
      <c r="D2826" s="65"/>
      <c r="E2826" s="92"/>
      <c r="F2826" s="12"/>
      <c r="G2826" s="157"/>
      <c r="H2826" s="12"/>
      <c r="I2826" s="62"/>
      <c r="J2826" s="27"/>
      <c r="K2826" s="62"/>
      <c r="L2826" s="12"/>
      <c r="M2826" s="191"/>
      <c r="N2826" s="130"/>
    </row>
    <row r="2827" spans="1:14" x14ac:dyDescent="0.25">
      <c r="A2827" s="63" t="s">
        <v>570</v>
      </c>
      <c r="B2827" s="71" t="s">
        <v>834</v>
      </c>
      <c r="C2827" s="2">
        <v>4099854071393</v>
      </c>
      <c r="D2827" s="136"/>
      <c r="E2827" s="137"/>
      <c r="F2827" s="25"/>
      <c r="G2827" s="156" t="str">
        <f>HYPERLINK("https://ledvance.com/pt/product-datasheet/250861/239210","Ficha Técnica")</f>
        <v>Ficha Técnica</v>
      </c>
      <c r="H2827" s="15">
        <v>10</v>
      </c>
      <c r="I2827" s="163">
        <v>350</v>
      </c>
      <c r="J2827" s="15" t="s">
        <v>1892</v>
      </c>
      <c r="K2827" s="163" t="s">
        <v>46</v>
      </c>
      <c r="L2827" s="15">
        <v>5</v>
      </c>
      <c r="M2827" s="193">
        <v>7.2</v>
      </c>
      <c r="N2827" s="173" t="s">
        <v>571</v>
      </c>
    </row>
    <row r="2828" spans="1:14" x14ac:dyDescent="0.25">
      <c r="A2828" s="63" t="s">
        <v>570</v>
      </c>
      <c r="B2828" s="71" t="s">
        <v>835</v>
      </c>
      <c r="C2828" s="2">
        <v>4099854071379</v>
      </c>
      <c r="D2828" s="136"/>
      <c r="E2828" s="137"/>
      <c r="F2828" s="25"/>
      <c r="G2828" s="156" t="str">
        <f>HYPERLINK("https://ledvance.com/pt/product-datasheet/250854/239213","Ficha Técnica")</f>
        <v>Ficha Técnica</v>
      </c>
      <c r="H2828" s="15">
        <v>10</v>
      </c>
      <c r="I2828" s="163">
        <v>350</v>
      </c>
      <c r="J2828" s="15" t="s">
        <v>1903</v>
      </c>
      <c r="K2828" s="163" t="s">
        <v>46</v>
      </c>
      <c r="L2828" s="15">
        <v>3</v>
      </c>
      <c r="M2828" s="193">
        <v>5.6</v>
      </c>
      <c r="N2828" s="173" t="s">
        <v>571</v>
      </c>
    </row>
    <row r="2829" spans="1:14" x14ac:dyDescent="0.25">
      <c r="A2829" s="66" t="s">
        <v>570</v>
      </c>
      <c r="B2829" s="73" t="s">
        <v>836</v>
      </c>
      <c r="C2829" s="52"/>
      <c r="D2829" s="65"/>
      <c r="E2829" s="92"/>
      <c r="F2829" s="12"/>
      <c r="G2829" s="157"/>
      <c r="H2829" s="12"/>
      <c r="I2829" s="62"/>
      <c r="J2829" s="27"/>
      <c r="K2829" s="62"/>
      <c r="L2829" s="12"/>
      <c r="M2829" s="191"/>
      <c r="N2829" s="130"/>
    </row>
    <row r="2830" spans="1:14" x14ac:dyDescent="0.25">
      <c r="A2830" s="66" t="s">
        <v>570</v>
      </c>
      <c r="B2830" s="73" t="s">
        <v>837</v>
      </c>
      <c r="C2830" s="52"/>
      <c r="D2830" s="65"/>
      <c r="E2830" s="92"/>
      <c r="F2830" s="12"/>
      <c r="G2830" s="157"/>
      <c r="H2830" s="12"/>
      <c r="I2830" s="62"/>
      <c r="J2830" s="27"/>
      <c r="K2830" s="62"/>
      <c r="L2830" s="12"/>
      <c r="M2830" s="191"/>
      <c r="N2830" s="130"/>
    </row>
    <row r="2831" spans="1:14" x14ac:dyDescent="0.25">
      <c r="A2831" s="63" t="s">
        <v>570</v>
      </c>
      <c r="B2831" s="71" t="s">
        <v>1640</v>
      </c>
      <c r="C2831" s="2">
        <v>4099854048456</v>
      </c>
      <c r="D2831" s="136"/>
      <c r="E2831" s="137"/>
      <c r="F2831" s="25"/>
      <c r="G2831" s="156" t="str">
        <f>HYPERLINK("https://ledvance.com/pt/product-datasheet/219180/235909","Ficha Técnica")</f>
        <v>Ficha Técnica</v>
      </c>
      <c r="H2831" s="15">
        <v>10</v>
      </c>
      <c r="I2831" s="163">
        <v>345</v>
      </c>
      <c r="J2831" s="15" t="s">
        <v>1905</v>
      </c>
      <c r="K2831" s="163" t="s">
        <v>46</v>
      </c>
      <c r="L2831" s="15">
        <v>3</v>
      </c>
      <c r="M2831" s="193">
        <v>3.7</v>
      </c>
      <c r="N2831" s="173" t="s">
        <v>571</v>
      </c>
    </row>
    <row r="2832" spans="1:14" x14ac:dyDescent="0.25">
      <c r="A2832" s="66" t="s">
        <v>570</v>
      </c>
      <c r="B2832" s="73" t="s">
        <v>838</v>
      </c>
      <c r="C2832" s="52"/>
      <c r="D2832" s="65"/>
      <c r="E2832" s="92"/>
      <c r="F2832" s="12"/>
      <c r="G2832" s="157"/>
      <c r="H2832" s="12"/>
      <c r="I2832" s="62"/>
      <c r="J2832" s="27"/>
      <c r="K2832" s="62"/>
      <c r="L2832" s="12"/>
      <c r="M2832" s="191"/>
      <c r="N2832" s="130"/>
    </row>
    <row r="2833" spans="1:14" x14ac:dyDescent="0.25">
      <c r="A2833" s="63" t="s">
        <v>570</v>
      </c>
      <c r="B2833" s="71" t="s">
        <v>1641</v>
      </c>
      <c r="C2833" s="2">
        <v>4099854058608</v>
      </c>
      <c r="D2833" s="136"/>
      <c r="E2833" s="137"/>
      <c r="F2833" s="25"/>
      <c r="G2833" s="156" t="str">
        <f>HYPERLINK("https://ledvance.com/pt/product-datasheet/251335/236840","Ficha Técnica")</f>
        <v>Ficha Técnica</v>
      </c>
      <c r="H2833" s="15">
        <v>10</v>
      </c>
      <c r="I2833" s="163">
        <v>350</v>
      </c>
      <c r="J2833" s="15" t="s">
        <v>1894</v>
      </c>
      <c r="K2833" s="163" t="s">
        <v>46</v>
      </c>
      <c r="L2833" s="15">
        <v>5</v>
      </c>
      <c r="M2833" s="193">
        <v>9.6</v>
      </c>
      <c r="N2833" s="173" t="s">
        <v>571</v>
      </c>
    </row>
    <row r="2834" spans="1:14" x14ac:dyDescent="0.25">
      <c r="A2834" s="63" t="s">
        <v>570</v>
      </c>
      <c r="B2834" s="71" t="s">
        <v>1642</v>
      </c>
      <c r="C2834" s="2">
        <v>4099854047954</v>
      </c>
      <c r="D2834" s="136"/>
      <c r="E2834" s="137"/>
      <c r="F2834" s="25"/>
      <c r="G2834" s="156" t="str">
        <f>HYPERLINK("https://ledvance.com/pt/product-datasheet/251286/235921","Ficha Técnica")</f>
        <v>Ficha Técnica</v>
      </c>
      <c r="H2834" s="15">
        <v>10</v>
      </c>
      <c r="I2834" s="163">
        <v>345</v>
      </c>
      <c r="J2834" s="15" t="s">
        <v>1905</v>
      </c>
      <c r="K2834" s="163" t="s">
        <v>46</v>
      </c>
      <c r="L2834" s="15">
        <v>5</v>
      </c>
      <c r="M2834" s="193">
        <v>10.4</v>
      </c>
      <c r="N2834" s="173" t="s">
        <v>571</v>
      </c>
    </row>
    <row r="2835" spans="1:14" x14ac:dyDescent="0.25">
      <c r="A2835" s="63" t="s">
        <v>570</v>
      </c>
      <c r="B2835" s="71" t="s">
        <v>1643</v>
      </c>
      <c r="C2835" s="2">
        <v>4099854051234</v>
      </c>
      <c r="D2835" s="136"/>
      <c r="E2835" s="137"/>
      <c r="F2835" s="25"/>
      <c r="G2835" s="156" t="str">
        <f>HYPERLINK("https://ledvance.com/pt/product-datasheet/251290/235932","Ficha Técnica")</f>
        <v>Ficha Técnica</v>
      </c>
      <c r="H2835" s="15">
        <v>10</v>
      </c>
      <c r="I2835" s="163">
        <v>345</v>
      </c>
      <c r="J2835" s="15" t="s">
        <v>1905</v>
      </c>
      <c r="K2835" s="163" t="s">
        <v>46</v>
      </c>
      <c r="L2835" s="15">
        <v>5</v>
      </c>
      <c r="M2835" s="193">
        <v>13.1</v>
      </c>
      <c r="N2835" s="173" t="s">
        <v>571</v>
      </c>
    </row>
    <row r="2836" spans="1:14" x14ac:dyDescent="0.25">
      <c r="A2836" s="63" t="s">
        <v>570</v>
      </c>
      <c r="B2836" s="71" t="s">
        <v>1644</v>
      </c>
      <c r="C2836" s="2">
        <v>4099854051258</v>
      </c>
      <c r="D2836" s="136"/>
      <c r="E2836" s="137"/>
      <c r="F2836" s="25"/>
      <c r="G2836" s="156" t="str">
        <f>HYPERLINK("https://ledvance.com/pt/product-datasheet/251290/235938","Ficha Técnica")</f>
        <v>Ficha Técnica</v>
      </c>
      <c r="H2836" s="15">
        <v>10</v>
      </c>
      <c r="I2836" s="163">
        <v>670</v>
      </c>
      <c r="J2836" s="15" t="s">
        <v>1920</v>
      </c>
      <c r="K2836" s="163" t="s">
        <v>46</v>
      </c>
      <c r="L2836" s="15">
        <v>5</v>
      </c>
      <c r="M2836" s="193">
        <v>16.8</v>
      </c>
      <c r="N2836" s="173" t="s">
        <v>571</v>
      </c>
    </row>
    <row r="2837" spans="1:14" x14ac:dyDescent="0.25">
      <c r="A2837" s="66" t="s">
        <v>570</v>
      </c>
      <c r="B2837" s="73" t="s">
        <v>839</v>
      </c>
      <c r="C2837" s="52"/>
      <c r="D2837" s="65"/>
      <c r="E2837" s="92"/>
      <c r="F2837" s="12"/>
      <c r="G2837" s="157"/>
      <c r="H2837" s="12"/>
      <c r="I2837" s="62"/>
      <c r="J2837" s="27"/>
      <c r="K2837" s="62"/>
      <c r="L2837" s="12"/>
      <c r="M2837" s="191"/>
      <c r="N2837" s="130"/>
    </row>
    <row r="2838" spans="1:14" x14ac:dyDescent="0.25">
      <c r="A2838" s="63" t="s">
        <v>570</v>
      </c>
      <c r="B2838" s="71" t="s">
        <v>1645</v>
      </c>
      <c r="C2838" s="2">
        <v>4058075433243</v>
      </c>
      <c r="D2838" s="136"/>
      <c r="E2838" s="137"/>
      <c r="F2838" s="25"/>
      <c r="G2838" s="156" t="str">
        <f>HYPERLINK("https://ledvance.com/pt/product-datasheet/6871/92932","Ficha Técnica")</f>
        <v>Ficha Técnica</v>
      </c>
      <c r="H2838" s="15">
        <v>10</v>
      </c>
      <c r="I2838" s="163">
        <v>110</v>
      </c>
      <c r="J2838" s="15" t="s">
        <v>1897</v>
      </c>
      <c r="K2838" s="163" t="s">
        <v>46</v>
      </c>
      <c r="L2838" s="15">
        <v>3</v>
      </c>
      <c r="M2838" s="193">
        <v>6.2</v>
      </c>
      <c r="N2838" s="173" t="s">
        <v>571</v>
      </c>
    </row>
    <row r="2839" spans="1:14" x14ac:dyDescent="0.25">
      <c r="A2839" s="63" t="s">
        <v>570</v>
      </c>
      <c r="B2839" s="71" t="s">
        <v>1646</v>
      </c>
      <c r="C2839" s="2">
        <v>4099854058639</v>
      </c>
      <c r="D2839" s="136"/>
      <c r="E2839" s="137"/>
      <c r="F2839" s="25"/>
      <c r="G2839" s="156" t="str">
        <f>HYPERLINK("https://ledvance.com/pt/product-datasheet/251340/236865","Ficha Técnica")</f>
        <v>Ficha Técnica</v>
      </c>
      <c r="H2839" s="15">
        <v>10</v>
      </c>
      <c r="I2839" s="163">
        <v>110</v>
      </c>
      <c r="J2839" s="15" t="s">
        <v>1897</v>
      </c>
      <c r="K2839" s="163" t="s">
        <v>46</v>
      </c>
      <c r="L2839" s="15">
        <v>4</v>
      </c>
      <c r="M2839" s="193">
        <v>5.4</v>
      </c>
      <c r="N2839" s="173" t="s">
        <v>571</v>
      </c>
    </row>
    <row r="2840" spans="1:14" x14ac:dyDescent="0.25">
      <c r="A2840" s="63" t="s">
        <v>570</v>
      </c>
      <c r="B2840" s="71" t="s">
        <v>1647</v>
      </c>
      <c r="C2840" s="2">
        <v>4099854058660</v>
      </c>
      <c r="D2840" s="136"/>
      <c r="E2840" s="137"/>
      <c r="F2840" s="25"/>
      <c r="G2840" s="156" t="str">
        <f>HYPERLINK("https://ledvance.com/pt/product-datasheet/251340/236884","Ficha Técnica")</f>
        <v>Ficha Técnica</v>
      </c>
      <c r="H2840" s="15">
        <v>10</v>
      </c>
      <c r="I2840" s="163">
        <v>210</v>
      </c>
      <c r="J2840" s="15" t="s">
        <v>1910</v>
      </c>
      <c r="K2840" s="163" t="s">
        <v>46</v>
      </c>
      <c r="L2840" s="15">
        <v>4</v>
      </c>
      <c r="M2840" s="193">
        <v>7.3</v>
      </c>
      <c r="N2840" s="173" t="s">
        <v>571</v>
      </c>
    </row>
    <row r="2841" spans="1:14" x14ac:dyDescent="0.25">
      <c r="A2841" s="63" t="s">
        <v>570</v>
      </c>
      <c r="B2841" s="71" t="s">
        <v>1648</v>
      </c>
      <c r="C2841" s="2">
        <v>4099854058714</v>
      </c>
      <c r="D2841" s="136"/>
      <c r="E2841" s="137"/>
      <c r="F2841" s="25"/>
      <c r="G2841" s="156" t="str">
        <f>HYPERLINK("https://ledvance.com/pt/product-datasheet/251340/236777","Ficha Técnica")</f>
        <v>Ficha Técnica</v>
      </c>
      <c r="H2841" s="15">
        <v>10</v>
      </c>
      <c r="I2841" s="163">
        <v>350</v>
      </c>
      <c r="J2841" s="15" t="s">
        <v>1911</v>
      </c>
      <c r="K2841" s="163" t="s">
        <v>46</v>
      </c>
      <c r="L2841" s="15">
        <v>4</v>
      </c>
      <c r="M2841" s="193">
        <v>8.1999999999999993</v>
      </c>
      <c r="N2841" s="173" t="s">
        <v>571</v>
      </c>
    </row>
    <row r="2842" spans="1:14" x14ac:dyDescent="0.25">
      <c r="A2842" s="63" t="s">
        <v>570</v>
      </c>
      <c r="B2842" s="71" t="s">
        <v>1649</v>
      </c>
      <c r="C2842" s="2">
        <v>4099854048012</v>
      </c>
      <c r="D2842" s="136"/>
      <c r="E2842" s="137"/>
      <c r="F2842" s="25"/>
      <c r="G2842" s="156" t="str">
        <f>HYPERLINK("https://ledvance.com/pt/product-datasheet/251284/235791","Ficha Técnica")</f>
        <v>Ficha Técnica</v>
      </c>
      <c r="H2842" s="15">
        <v>10</v>
      </c>
      <c r="I2842" s="163">
        <v>210</v>
      </c>
      <c r="J2842" s="15" t="s">
        <v>1891</v>
      </c>
      <c r="K2842" s="163" t="s">
        <v>46</v>
      </c>
      <c r="L2842" s="15">
        <v>4</v>
      </c>
      <c r="M2842" s="193">
        <v>9.1</v>
      </c>
      <c r="N2842" s="173" t="s">
        <v>571</v>
      </c>
    </row>
    <row r="2843" spans="1:14" x14ac:dyDescent="0.25">
      <c r="A2843" s="63" t="s">
        <v>570</v>
      </c>
      <c r="B2843" s="71" t="s">
        <v>1650</v>
      </c>
      <c r="C2843" s="2">
        <v>4099854048371</v>
      </c>
      <c r="D2843" s="136"/>
      <c r="E2843" s="137"/>
      <c r="F2843" s="25"/>
      <c r="G2843" s="156" t="str">
        <f>HYPERLINK("https://ledvance.com/pt/product-datasheet/251284/235800","Ficha Técnica")</f>
        <v>Ficha Técnica</v>
      </c>
      <c r="H2843" s="15">
        <v>10</v>
      </c>
      <c r="I2843" s="163">
        <v>350</v>
      </c>
      <c r="J2843" s="15" t="s">
        <v>1892</v>
      </c>
      <c r="K2843" s="163" t="s">
        <v>46</v>
      </c>
      <c r="L2843" s="15">
        <v>4</v>
      </c>
      <c r="M2843" s="193">
        <v>9.5</v>
      </c>
      <c r="N2843" s="173" t="s">
        <v>571</v>
      </c>
    </row>
    <row r="2844" spans="1:14" x14ac:dyDescent="0.25">
      <c r="A2844" s="63" t="s">
        <v>570</v>
      </c>
      <c r="B2844" s="71" t="s">
        <v>1651</v>
      </c>
      <c r="C2844" s="2">
        <v>4099854050114</v>
      </c>
      <c r="D2844" s="136"/>
      <c r="E2844" s="137"/>
      <c r="F2844" s="25"/>
      <c r="G2844" s="156" t="str">
        <f>HYPERLINK("https://ledvance.com/pt/product-datasheet/251288/235815","Ficha Técnica")</f>
        <v>Ficha Técnica</v>
      </c>
      <c r="H2844" s="15">
        <v>10</v>
      </c>
      <c r="I2844" s="163">
        <v>670</v>
      </c>
      <c r="J2844" s="15" t="s">
        <v>1920</v>
      </c>
      <c r="K2844" s="163" t="s">
        <v>46</v>
      </c>
      <c r="L2844" s="15">
        <v>4</v>
      </c>
      <c r="M2844" s="193">
        <v>13.9</v>
      </c>
      <c r="N2844" s="173" t="s">
        <v>571</v>
      </c>
    </row>
    <row r="2845" spans="1:14" x14ac:dyDescent="0.25">
      <c r="A2845" s="63" t="s">
        <v>570</v>
      </c>
      <c r="B2845" s="71" t="s">
        <v>1652</v>
      </c>
      <c r="C2845" s="2">
        <v>4099854050091</v>
      </c>
      <c r="D2845" s="136"/>
      <c r="E2845" s="137"/>
      <c r="F2845" s="25"/>
      <c r="G2845" s="156" t="str">
        <f>HYPERLINK("https://ledvance.com/pt/product-datasheet/251288/235809","Ficha Técnica")</f>
        <v>Ficha Técnica</v>
      </c>
      <c r="H2845" s="15">
        <v>10</v>
      </c>
      <c r="I2845" s="163">
        <v>350</v>
      </c>
      <c r="J2845" s="15" t="s">
        <v>1892</v>
      </c>
      <c r="K2845" s="163" t="s">
        <v>46</v>
      </c>
      <c r="L2845" s="15">
        <v>4</v>
      </c>
      <c r="M2845" s="193">
        <v>10.8</v>
      </c>
      <c r="N2845" s="173" t="s">
        <v>571</v>
      </c>
    </row>
    <row r="2846" spans="1:14" x14ac:dyDescent="0.25">
      <c r="A2846" s="66" t="s">
        <v>570</v>
      </c>
      <c r="B2846" s="73" t="s">
        <v>840</v>
      </c>
      <c r="C2846" s="52"/>
      <c r="D2846" s="65"/>
      <c r="E2846" s="92"/>
      <c r="F2846" s="12"/>
      <c r="G2846" s="157"/>
      <c r="H2846" s="12"/>
      <c r="I2846" s="62"/>
      <c r="J2846" s="27"/>
      <c r="K2846" s="62"/>
      <c r="L2846" s="12"/>
      <c r="M2846" s="191"/>
      <c r="N2846" s="130"/>
    </row>
    <row r="2847" spans="1:14" x14ac:dyDescent="0.25">
      <c r="A2847" s="66" t="s">
        <v>570</v>
      </c>
      <c r="B2847" s="73" t="s">
        <v>841</v>
      </c>
      <c r="C2847" s="52"/>
      <c r="D2847" s="65"/>
      <c r="E2847" s="92"/>
      <c r="F2847" s="12"/>
      <c r="G2847" s="157"/>
      <c r="H2847" s="12"/>
      <c r="I2847" s="62"/>
      <c r="J2847" s="27"/>
      <c r="K2847" s="62"/>
      <c r="L2847" s="12"/>
      <c r="M2847" s="191"/>
      <c r="N2847" s="130"/>
    </row>
    <row r="2848" spans="1:14" x14ac:dyDescent="0.25">
      <c r="A2848" s="63" t="s">
        <v>570</v>
      </c>
      <c r="B2848" s="71" t="s">
        <v>842</v>
      </c>
      <c r="C2848" s="2">
        <v>4099854075407</v>
      </c>
      <c r="D2848" s="118"/>
      <c r="E2848" s="132"/>
      <c r="F2848" s="28"/>
      <c r="G2848" s="156" t="str">
        <f>HYPERLINK("https://ledvance.com/pt/product-datasheet/251759/240391","Ficha Técnica")</f>
        <v>Ficha Técnica</v>
      </c>
      <c r="H2848" s="15">
        <v>10</v>
      </c>
      <c r="I2848" s="163">
        <v>470</v>
      </c>
      <c r="J2848" s="15" t="s">
        <v>1905</v>
      </c>
      <c r="K2848" s="163" t="s">
        <v>46</v>
      </c>
      <c r="L2848" s="15">
        <v>5</v>
      </c>
      <c r="M2848" s="193">
        <v>4.2</v>
      </c>
      <c r="N2848" s="173" t="s">
        <v>571</v>
      </c>
    </row>
    <row r="2849" spans="1:14" x14ac:dyDescent="0.25">
      <c r="A2849" s="63" t="s">
        <v>570</v>
      </c>
      <c r="B2849" s="71" t="s">
        <v>843</v>
      </c>
      <c r="C2849" s="2">
        <v>4099854075421</v>
      </c>
      <c r="D2849" s="118"/>
      <c r="E2849" s="132"/>
      <c r="F2849" s="28"/>
      <c r="G2849" s="156" t="str">
        <f>HYPERLINK("https://ledvance.com/pt/product-datasheet/251759/240394","Ficha Técnica")</f>
        <v>Ficha Técnica</v>
      </c>
      <c r="H2849" s="15">
        <v>10</v>
      </c>
      <c r="I2849" s="163">
        <v>806</v>
      </c>
      <c r="J2849" s="15" t="s">
        <v>1921</v>
      </c>
      <c r="K2849" s="163" t="s">
        <v>46</v>
      </c>
      <c r="L2849" s="15">
        <v>5</v>
      </c>
      <c r="M2849" s="193">
        <v>5.7</v>
      </c>
      <c r="N2849" s="173" t="s">
        <v>571</v>
      </c>
    </row>
    <row r="2850" spans="1:14" x14ac:dyDescent="0.25">
      <c r="A2850" s="63" t="s">
        <v>570</v>
      </c>
      <c r="B2850" s="71" t="s">
        <v>844</v>
      </c>
      <c r="C2850" s="2">
        <v>4099854075445</v>
      </c>
      <c r="D2850" s="118"/>
      <c r="E2850" s="132"/>
      <c r="F2850" s="28"/>
      <c r="G2850" s="156" t="str">
        <f>HYPERLINK("https://ledvance.com/pt/product-datasheet/251759/240397","Ficha Técnica")</f>
        <v>Ficha Técnica</v>
      </c>
      <c r="H2850" s="15">
        <v>10</v>
      </c>
      <c r="I2850" s="163">
        <v>250</v>
      </c>
      <c r="J2850" s="15" t="s">
        <v>1891</v>
      </c>
      <c r="K2850" s="163" t="s">
        <v>46</v>
      </c>
      <c r="L2850" s="15">
        <v>5</v>
      </c>
      <c r="M2850" s="193">
        <v>4</v>
      </c>
      <c r="N2850" s="173" t="s">
        <v>571</v>
      </c>
    </row>
    <row r="2851" spans="1:14" x14ac:dyDescent="0.25">
      <c r="A2851" s="63" t="s">
        <v>570</v>
      </c>
      <c r="B2851" s="71" t="s">
        <v>845</v>
      </c>
      <c r="C2851" s="2">
        <v>4099854075469</v>
      </c>
      <c r="D2851" s="118"/>
      <c r="E2851" s="132"/>
      <c r="F2851" s="28"/>
      <c r="G2851" s="156" t="str">
        <f>HYPERLINK("https://ledvance.com/pt/product-datasheet/251759/240400","Ficha Técnica")</f>
        <v>Ficha Técnica</v>
      </c>
      <c r="H2851" s="15">
        <v>10</v>
      </c>
      <c r="I2851" s="163">
        <v>470</v>
      </c>
      <c r="J2851" s="15" t="s">
        <v>1905</v>
      </c>
      <c r="K2851" s="163" t="s">
        <v>46</v>
      </c>
      <c r="L2851" s="15">
        <v>5</v>
      </c>
      <c r="M2851" s="193">
        <v>5</v>
      </c>
      <c r="N2851" s="173" t="s">
        <v>571</v>
      </c>
    </row>
    <row r="2852" spans="1:14" x14ac:dyDescent="0.25">
      <c r="A2852" s="63" t="s">
        <v>570</v>
      </c>
      <c r="B2852" s="71" t="s">
        <v>846</v>
      </c>
      <c r="C2852" s="2">
        <v>4099854075483</v>
      </c>
      <c r="D2852" s="118"/>
      <c r="E2852" s="132"/>
      <c r="F2852" s="28"/>
      <c r="G2852" s="156" t="str">
        <f>HYPERLINK("https://ledvance.com/pt/product-datasheet/251759/240403","Ficha Técnica")</f>
        <v>Ficha Técnica</v>
      </c>
      <c r="H2852" s="15">
        <v>10</v>
      </c>
      <c r="I2852" s="163">
        <v>470</v>
      </c>
      <c r="J2852" s="15" t="s">
        <v>1905</v>
      </c>
      <c r="K2852" s="163" t="s">
        <v>46</v>
      </c>
      <c r="L2852" s="15">
        <v>5</v>
      </c>
      <c r="M2852" s="193">
        <v>5</v>
      </c>
      <c r="N2852" s="173" t="s">
        <v>571</v>
      </c>
    </row>
    <row r="2853" spans="1:14" x14ac:dyDescent="0.25">
      <c r="A2853" s="66" t="s">
        <v>570</v>
      </c>
      <c r="B2853" s="73" t="s">
        <v>847</v>
      </c>
      <c r="C2853" s="52"/>
      <c r="D2853" s="65"/>
      <c r="E2853" s="92"/>
      <c r="F2853" s="12"/>
      <c r="G2853" s="157"/>
      <c r="H2853" s="12"/>
      <c r="I2853" s="62"/>
      <c r="J2853" s="27"/>
      <c r="K2853" s="62"/>
      <c r="L2853" s="12"/>
      <c r="M2853" s="191"/>
      <c r="N2853" s="130"/>
    </row>
    <row r="2854" spans="1:14" x14ac:dyDescent="0.25">
      <c r="A2854" s="63" t="s">
        <v>570</v>
      </c>
      <c r="B2854" s="71" t="s">
        <v>848</v>
      </c>
      <c r="C2854" s="2">
        <v>4099854044151</v>
      </c>
      <c r="D2854" s="118"/>
      <c r="E2854" s="119"/>
      <c r="F2854" s="25"/>
      <c r="G2854" s="156" t="str">
        <f>HYPERLINK("https://ledvance.com/pt/product-datasheet/251782/234684","Ficha Técnica")</f>
        <v>Ficha Técnica</v>
      </c>
      <c r="H2854" s="15">
        <v>10</v>
      </c>
      <c r="I2854" s="163">
        <v>806</v>
      </c>
      <c r="J2854" s="15">
        <v>7</v>
      </c>
      <c r="K2854" s="163" t="s">
        <v>46</v>
      </c>
      <c r="L2854" s="15">
        <v>5</v>
      </c>
      <c r="M2854" s="193">
        <v>13.3</v>
      </c>
      <c r="N2854" s="173" t="s">
        <v>571</v>
      </c>
    </row>
    <row r="2855" spans="1:14" x14ac:dyDescent="0.25">
      <c r="A2855" s="63" t="s">
        <v>570</v>
      </c>
      <c r="B2855" s="71" t="s">
        <v>849</v>
      </c>
      <c r="C2855" s="2">
        <v>4099854044199</v>
      </c>
      <c r="D2855" s="118"/>
      <c r="E2855" s="119"/>
      <c r="F2855" s="25"/>
      <c r="G2855" s="156" t="str">
        <f>HYPERLINK("https://ledvance.com/pt/product-datasheet/251782/234690","Ficha Técnica")</f>
        <v>Ficha Técnica</v>
      </c>
      <c r="H2855" s="15">
        <v>10</v>
      </c>
      <c r="I2855" s="163">
        <v>1055</v>
      </c>
      <c r="J2855" s="15">
        <v>9</v>
      </c>
      <c r="K2855" s="163" t="s">
        <v>46</v>
      </c>
      <c r="L2855" s="15">
        <v>5</v>
      </c>
      <c r="M2855" s="193">
        <v>17.5</v>
      </c>
      <c r="N2855" s="173" t="s">
        <v>571</v>
      </c>
    </row>
    <row r="2856" spans="1:14" x14ac:dyDescent="0.25">
      <c r="A2856" s="63" t="s">
        <v>570</v>
      </c>
      <c r="B2856" s="71" t="s">
        <v>850</v>
      </c>
      <c r="C2856" s="2">
        <v>4099854044175</v>
      </c>
      <c r="D2856" s="118"/>
      <c r="E2856" s="119"/>
      <c r="F2856" s="28"/>
      <c r="G2856" s="156" t="str">
        <f>HYPERLINK("https://ledvance.com/pt/product-datasheet/251782/234687","Ficha Técnica")</f>
        <v>Ficha Técnica</v>
      </c>
      <c r="H2856" s="15">
        <v>10</v>
      </c>
      <c r="I2856" s="163">
        <v>806</v>
      </c>
      <c r="J2856" s="15">
        <v>7</v>
      </c>
      <c r="K2856" s="163" t="s">
        <v>46</v>
      </c>
      <c r="L2856" s="15">
        <v>5</v>
      </c>
      <c r="M2856" s="193">
        <v>13.3</v>
      </c>
      <c r="N2856" s="173" t="s">
        <v>571</v>
      </c>
    </row>
    <row r="2857" spans="1:14" x14ac:dyDescent="0.25">
      <c r="A2857" s="63" t="s">
        <v>570</v>
      </c>
      <c r="B2857" s="71" t="s">
        <v>851</v>
      </c>
      <c r="C2857" s="2">
        <v>4099854044212</v>
      </c>
      <c r="D2857" s="118"/>
      <c r="E2857" s="119"/>
      <c r="F2857" s="28"/>
      <c r="G2857" s="156" t="str">
        <f>HYPERLINK("https://ledvance.com/pt/product-datasheet/251782/234693","Ficha Técnica")</f>
        <v>Ficha Técnica</v>
      </c>
      <c r="H2857" s="15">
        <v>10</v>
      </c>
      <c r="I2857" s="163">
        <v>1055</v>
      </c>
      <c r="J2857" s="15">
        <v>9</v>
      </c>
      <c r="K2857" s="163" t="s">
        <v>46</v>
      </c>
      <c r="L2857" s="15">
        <v>5</v>
      </c>
      <c r="M2857" s="193">
        <v>17.5</v>
      </c>
      <c r="N2857" s="173" t="s">
        <v>571</v>
      </c>
    </row>
    <row r="2858" spans="1:14" x14ac:dyDescent="0.25">
      <c r="A2858" s="63" t="s">
        <v>570</v>
      </c>
      <c r="B2858" s="71" t="s">
        <v>852</v>
      </c>
      <c r="C2858" s="2">
        <v>4099854086342</v>
      </c>
      <c r="D2858" s="118"/>
      <c r="E2858" s="119"/>
      <c r="F2858" s="28"/>
      <c r="G2858" s="156" t="str">
        <f>HYPERLINK("https://ledvance.com/pt/product-datasheet/251782/245320","Ficha Técnica")</f>
        <v>Ficha Técnica</v>
      </c>
      <c r="H2858" s="15">
        <v>10</v>
      </c>
      <c r="I2858" s="163">
        <v>806</v>
      </c>
      <c r="J2858" s="15" t="s">
        <v>1876</v>
      </c>
      <c r="K2858" s="163" t="s">
        <v>46</v>
      </c>
      <c r="L2858" s="15">
        <v>5</v>
      </c>
      <c r="M2858" s="193">
        <v>17.899999999999999</v>
      </c>
      <c r="N2858" s="173" t="s">
        <v>571</v>
      </c>
    </row>
    <row r="2859" spans="1:14" x14ac:dyDescent="0.25">
      <c r="A2859" s="63" t="s">
        <v>570</v>
      </c>
      <c r="B2859" s="71" t="s">
        <v>853</v>
      </c>
      <c r="C2859" s="2">
        <v>4099854086366</v>
      </c>
      <c r="D2859" s="118"/>
      <c r="E2859" s="132"/>
      <c r="F2859" s="28"/>
      <c r="G2859" s="156" t="str">
        <f>HYPERLINK("https://ledvance.com/pt/product-datasheet/251782/245323","Ficha Técnica")</f>
        <v>Ficha Técnica</v>
      </c>
      <c r="H2859" s="15">
        <v>10</v>
      </c>
      <c r="I2859" s="163">
        <v>806</v>
      </c>
      <c r="J2859" s="15" t="s">
        <v>1876</v>
      </c>
      <c r="K2859" s="163" t="s">
        <v>46</v>
      </c>
      <c r="L2859" s="15">
        <v>5</v>
      </c>
      <c r="M2859" s="193">
        <v>17.899999999999999</v>
      </c>
      <c r="N2859" s="173" t="s">
        <v>571</v>
      </c>
    </row>
    <row r="2860" spans="1:14" x14ac:dyDescent="0.25">
      <c r="A2860" s="66" t="s">
        <v>570</v>
      </c>
      <c r="B2860" s="73" t="s">
        <v>854</v>
      </c>
      <c r="C2860" s="52"/>
      <c r="D2860" s="65"/>
      <c r="E2860" s="92"/>
      <c r="F2860" s="12"/>
      <c r="G2860" s="157"/>
      <c r="H2860" s="12"/>
      <c r="I2860" s="62"/>
      <c r="J2860" s="27"/>
      <c r="K2860" s="62"/>
      <c r="L2860" s="12"/>
      <c r="M2860" s="191"/>
      <c r="N2860" s="130"/>
    </row>
    <row r="2861" spans="1:14" x14ac:dyDescent="0.25">
      <c r="A2861" s="63" t="s">
        <v>570</v>
      </c>
      <c r="B2861" s="71" t="s">
        <v>855</v>
      </c>
      <c r="C2861" s="2">
        <v>4099854043970</v>
      </c>
      <c r="D2861" s="118"/>
      <c r="E2861" s="119"/>
      <c r="F2861" s="25"/>
      <c r="G2861" s="156" t="str">
        <f>HYPERLINK("https://ledvance.com/pt/product-datasheet/251795/234654","Ficha Técnica")</f>
        <v>Ficha Técnica</v>
      </c>
      <c r="H2861" s="15">
        <v>10</v>
      </c>
      <c r="I2861" s="163">
        <v>806</v>
      </c>
      <c r="J2861" s="15" t="s">
        <v>1902</v>
      </c>
      <c r="K2861" s="163" t="s">
        <v>46</v>
      </c>
      <c r="L2861" s="15">
        <v>5</v>
      </c>
      <c r="M2861" s="193">
        <v>7.1</v>
      </c>
      <c r="N2861" s="173" t="s">
        <v>571</v>
      </c>
    </row>
    <row r="2862" spans="1:14" x14ac:dyDescent="0.25">
      <c r="A2862" s="63" t="s">
        <v>570</v>
      </c>
      <c r="B2862" s="71" t="s">
        <v>856</v>
      </c>
      <c r="C2862" s="2">
        <v>4099854043994</v>
      </c>
      <c r="D2862" s="118"/>
      <c r="E2862" s="119"/>
      <c r="F2862" s="25"/>
      <c r="G2862" s="156" t="str">
        <f>HYPERLINK("https://ledvance.com/pt/product-datasheet/251795/234657","Ficha Técnica")</f>
        <v>Ficha Técnica</v>
      </c>
      <c r="H2862" s="15">
        <v>10</v>
      </c>
      <c r="I2862" s="163">
        <v>1055</v>
      </c>
      <c r="J2862" s="15" t="s">
        <v>1877</v>
      </c>
      <c r="K2862" s="163" t="s">
        <v>46</v>
      </c>
      <c r="L2862" s="15">
        <v>5</v>
      </c>
      <c r="M2862" s="193">
        <v>9.5</v>
      </c>
      <c r="N2862" s="173" t="s">
        <v>571</v>
      </c>
    </row>
    <row r="2863" spans="1:14" x14ac:dyDescent="0.25">
      <c r="A2863" s="63" t="s">
        <v>570</v>
      </c>
      <c r="B2863" s="71" t="s">
        <v>857</v>
      </c>
      <c r="C2863" s="2">
        <v>4099854044014</v>
      </c>
      <c r="D2863" s="118"/>
      <c r="E2863" s="119"/>
      <c r="F2863" s="25"/>
      <c r="G2863" s="156" t="str">
        <f>HYPERLINK("https://ledvance.com/pt/product-datasheet/251795/234672","Ficha Técnica")</f>
        <v>Ficha Técnica</v>
      </c>
      <c r="H2863" s="15">
        <v>10</v>
      </c>
      <c r="I2863" s="163">
        <v>1521</v>
      </c>
      <c r="J2863" s="15">
        <v>14</v>
      </c>
      <c r="K2863" s="163" t="s">
        <v>46</v>
      </c>
      <c r="L2863" s="15">
        <v>5</v>
      </c>
      <c r="M2863" s="193">
        <v>11.8</v>
      </c>
      <c r="N2863" s="173" t="s">
        <v>571</v>
      </c>
    </row>
    <row r="2864" spans="1:14" x14ac:dyDescent="0.25">
      <c r="A2864" s="63" t="s">
        <v>570</v>
      </c>
      <c r="B2864" s="71" t="s">
        <v>858</v>
      </c>
      <c r="C2864" s="2">
        <v>4099854044038</v>
      </c>
      <c r="D2864" s="118"/>
      <c r="E2864" s="119"/>
      <c r="F2864" s="25"/>
      <c r="G2864" s="156" t="str">
        <f>HYPERLINK("https://ledvance.com/pt/product-datasheet/251795/234675","Ficha Técnica")</f>
        <v>Ficha Técnica</v>
      </c>
      <c r="H2864" s="15">
        <v>10</v>
      </c>
      <c r="I2864" s="163">
        <v>2452</v>
      </c>
      <c r="J2864" s="15">
        <v>20</v>
      </c>
      <c r="K2864" s="163" t="s">
        <v>46</v>
      </c>
      <c r="L2864" s="15">
        <v>5</v>
      </c>
      <c r="M2864" s="193">
        <v>23.3</v>
      </c>
      <c r="N2864" s="173" t="s">
        <v>571</v>
      </c>
    </row>
    <row r="2865" spans="1:14" x14ac:dyDescent="0.25">
      <c r="A2865" s="66" t="s">
        <v>570</v>
      </c>
      <c r="B2865" s="73" t="s">
        <v>859</v>
      </c>
      <c r="C2865" s="52"/>
      <c r="D2865" s="65"/>
      <c r="E2865" s="92"/>
      <c r="F2865" s="12"/>
      <c r="G2865" s="157"/>
      <c r="H2865" s="12"/>
      <c r="I2865" s="62"/>
      <c r="J2865" s="27"/>
      <c r="K2865" s="62"/>
      <c r="L2865" s="12"/>
      <c r="M2865" s="191"/>
      <c r="N2865" s="130"/>
    </row>
    <row r="2866" spans="1:14" x14ac:dyDescent="0.25">
      <c r="A2866" s="63" t="s">
        <v>570</v>
      </c>
      <c r="B2866" s="71" t="s">
        <v>860</v>
      </c>
      <c r="C2866" s="2">
        <v>4099854049460</v>
      </c>
      <c r="D2866" s="118"/>
      <c r="E2866" s="119"/>
      <c r="F2866" s="25"/>
      <c r="G2866" s="156" t="str">
        <f>HYPERLINK("https://ledvance.com/pt/product-datasheet/251763/235287","Ficha Técnica")</f>
        <v>Ficha Técnica</v>
      </c>
      <c r="H2866" s="15">
        <v>10</v>
      </c>
      <c r="I2866" s="163">
        <v>470</v>
      </c>
      <c r="J2866" s="15" t="s">
        <v>1905</v>
      </c>
      <c r="K2866" s="163" t="s">
        <v>46</v>
      </c>
      <c r="L2866" s="15">
        <v>4</v>
      </c>
      <c r="M2866" s="193">
        <v>3.2</v>
      </c>
      <c r="N2866" s="173" t="s">
        <v>571</v>
      </c>
    </row>
    <row r="2867" spans="1:14" x14ac:dyDescent="0.25">
      <c r="A2867" s="63" t="s">
        <v>570</v>
      </c>
      <c r="B2867" s="71" t="s">
        <v>861</v>
      </c>
      <c r="C2867" s="2">
        <v>4099854049538</v>
      </c>
      <c r="D2867" s="118"/>
      <c r="E2867" s="119"/>
      <c r="F2867" s="25"/>
      <c r="G2867" s="156" t="str">
        <f>HYPERLINK("https://ledvance.com/pt/product-datasheet/251763/235313","Ficha Técnica")</f>
        <v>Ficha Técnica</v>
      </c>
      <c r="H2867" s="15">
        <v>10</v>
      </c>
      <c r="I2867" s="163">
        <v>470</v>
      </c>
      <c r="J2867" s="15" t="s">
        <v>1905</v>
      </c>
      <c r="K2867" s="163" t="s">
        <v>46</v>
      </c>
      <c r="L2867" s="15">
        <v>4</v>
      </c>
      <c r="M2867" s="193">
        <v>3.2</v>
      </c>
      <c r="N2867" s="173" t="s">
        <v>571</v>
      </c>
    </row>
    <row r="2868" spans="1:14" x14ac:dyDescent="0.25">
      <c r="A2868" s="63" t="s">
        <v>570</v>
      </c>
      <c r="B2868" s="71" t="s">
        <v>862</v>
      </c>
      <c r="C2868" s="2">
        <v>4099854049088</v>
      </c>
      <c r="D2868" s="118"/>
      <c r="E2868" s="119"/>
      <c r="F2868" s="25"/>
      <c r="G2868" s="156" t="str">
        <f>HYPERLINK("https://ledvance.com/pt/product-datasheet/251763/235318","Ficha Técnica")</f>
        <v>Ficha Técnica</v>
      </c>
      <c r="H2868" s="15">
        <v>10</v>
      </c>
      <c r="I2868" s="163">
        <v>806</v>
      </c>
      <c r="J2868" s="15">
        <v>8</v>
      </c>
      <c r="K2868" s="163" t="s">
        <v>46</v>
      </c>
      <c r="L2868" s="15">
        <v>4</v>
      </c>
      <c r="M2868" s="193">
        <v>3.6</v>
      </c>
      <c r="N2868" s="173" t="s">
        <v>571</v>
      </c>
    </row>
    <row r="2869" spans="1:14" x14ac:dyDescent="0.25">
      <c r="A2869" s="63" t="s">
        <v>570</v>
      </c>
      <c r="B2869" s="71" t="s">
        <v>863</v>
      </c>
      <c r="C2869" s="2">
        <v>4099854049149</v>
      </c>
      <c r="D2869" s="118"/>
      <c r="E2869" s="119"/>
      <c r="F2869" s="25"/>
      <c r="G2869" s="156" t="str">
        <f>HYPERLINK("https://ledvance.com/pt/product-datasheet/251763/235376","Ficha Técnica")</f>
        <v>Ficha Técnica</v>
      </c>
      <c r="H2869" s="15">
        <v>10</v>
      </c>
      <c r="I2869" s="163">
        <v>806</v>
      </c>
      <c r="J2869" s="15">
        <v>8</v>
      </c>
      <c r="K2869" s="163" t="s">
        <v>46</v>
      </c>
      <c r="L2869" s="15">
        <v>4</v>
      </c>
      <c r="M2869" s="193">
        <v>3.6</v>
      </c>
      <c r="N2869" s="173" t="s">
        <v>571</v>
      </c>
    </row>
    <row r="2870" spans="1:14" x14ac:dyDescent="0.25">
      <c r="A2870" s="63" t="s">
        <v>570</v>
      </c>
      <c r="B2870" s="71" t="s">
        <v>864</v>
      </c>
      <c r="C2870" s="2">
        <v>4099854049101</v>
      </c>
      <c r="D2870" s="118"/>
      <c r="E2870" s="119"/>
      <c r="F2870" s="25"/>
      <c r="G2870" s="156" t="str">
        <f>HYPERLINK("https://ledvance.com/pt/product-datasheet/251763/235355","Ficha Técnica")</f>
        <v>Ficha Técnica</v>
      </c>
      <c r="H2870" s="15">
        <v>10</v>
      </c>
      <c r="I2870" s="163">
        <v>806</v>
      </c>
      <c r="J2870" s="15">
        <v>8</v>
      </c>
      <c r="K2870" s="163" t="s">
        <v>46</v>
      </c>
      <c r="L2870" s="15">
        <v>4</v>
      </c>
      <c r="M2870" s="193">
        <v>3.6</v>
      </c>
      <c r="N2870" s="173" t="s">
        <v>571</v>
      </c>
    </row>
    <row r="2871" spans="1:14" x14ac:dyDescent="0.25">
      <c r="A2871" s="63" t="s">
        <v>570</v>
      </c>
      <c r="B2871" s="71" t="s">
        <v>865</v>
      </c>
      <c r="C2871" s="2">
        <v>4099854048821</v>
      </c>
      <c r="D2871" s="118"/>
      <c r="E2871" s="119"/>
      <c r="F2871" s="25"/>
      <c r="G2871" s="156" t="str">
        <f>HYPERLINK("https://ledvance.com/pt/product-datasheet/251763/235409","Ficha Técnica")</f>
        <v>Ficha Técnica</v>
      </c>
      <c r="H2871" s="15">
        <v>10</v>
      </c>
      <c r="I2871" s="163">
        <v>1055</v>
      </c>
      <c r="J2871" s="15">
        <v>10</v>
      </c>
      <c r="K2871" s="163" t="s">
        <v>46</v>
      </c>
      <c r="L2871" s="15">
        <v>4</v>
      </c>
      <c r="M2871" s="193">
        <v>6.5</v>
      </c>
      <c r="N2871" s="173" t="s">
        <v>571</v>
      </c>
    </row>
    <row r="2872" spans="1:14" x14ac:dyDescent="0.25">
      <c r="A2872" s="63" t="s">
        <v>570</v>
      </c>
      <c r="B2872" s="71" t="s">
        <v>866</v>
      </c>
      <c r="C2872" s="2">
        <v>4099854048869</v>
      </c>
      <c r="D2872" s="118"/>
      <c r="E2872" s="119"/>
      <c r="F2872" s="25"/>
      <c r="G2872" s="156" t="str">
        <f>HYPERLINK("https://ledvance.com/pt/product-datasheet/251763/235433","Ficha Técnica")</f>
        <v>Ficha Técnica</v>
      </c>
      <c r="H2872" s="15">
        <v>10</v>
      </c>
      <c r="I2872" s="163">
        <v>1055</v>
      </c>
      <c r="J2872" s="15">
        <v>10</v>
      </c>
      <c r="K2872" s="163" t="s">
        <v>46</v>
      </c>
      <c r="L2872" s="15">
        <v>4</v>
      </c>
      <c r="M2872" s="193">
        <v>6.5</v>
      </c>
      <c r="N2872" s="173" t="s">
        <v>571</v>
      </c>
    </row>
    <row r="2873" spans="1:14" x14ac:dyDescent="0.25">
      <c r="A2873" s="63" t="s">
        <v>570</v>
      </c>
      <c r="B2873" s="71" t="s">
        <v>867</v>
      </c>
      <c r="C2873" s="2">
        <v>4099854048944</v>
      </c>
      <c r="D2873" s="118"/>
      <c r="E2873" s="119"/>
      <c r="F2873" s="25"/>
      <c r="G2873" s="156" t="str">
        <f>HYPERLINK("https://ledvance.com/pt/product-datasheet/251763/235486","Ficha Técnica")</f>
        <v>Ficha Técnica</v>
      </c>
      <c r="H2873" s="15">
        <v>10</v>
      </c>
      <c r="I2873" s="163">
        <v>1521</v>
      </c>
      <c r="J2873" s="15">
        <v>13</v>
      </c>
      <c r="K2873" s="163" t="s">
        <v>46</v>
      </c>
      <c r="L2873" s="15">
        <v>4</v>
      </c>
      <c r="M2873" s="193">
        <v>9.3000000000000007</v>
      </c>
      <c r="N2873" s="173" t="s">
        <v>571</v>
      </c>
    </row>
    <row r="2874" spans="1:14" x14ac:dyDescent="0.25">
      <c r="A2874" s="63" t="s">
        <v>570</v>
      </c>
      <c r="B2874" s="71" t="s">
        <v>868</v>
      </c>
      <c r="C2874" s="2">
        <v>4099854048968</v>
      </c>
      <c r="D2874" s="118"/>
      <c r="E2874" s="119"/>
      <c r="F2874" s="25"/>
      <c r="G2874" s="156" t="str">
        <f>HYPERLINK("https://ledvance.com/pt/product-datasheet/251763/235519","Ficha Técnica")</f>
        <v>Ficha Técnica</v>
      </c>
      <c r="H2874" s="15">
        <v>10</v>
      </c>
      <c r="I2874" s="163">
        <v>1521</v>
      </c>
      <c r="J2874" s="15">
        <v>13</v>
      </c>
      <c r="K2874" s="163" t="s">
        <v>46</v>
      </c>
      <c r="L2874" s="15">
        <v>4</v>
      </c>
      <c r="M2874" s="193">
        <v>9.3000000000000007</v>
      </c>
      <c r="N2874" s="173" t="s">
        <v>571</v>
      </c>
    </row>
    <row r="2875" spans="1:14" x14ac:dyDescent="0.25">
      <c r="A2875" s="63" t="s">
        <v>570</v>
      </c>
      <c r="B2875" s="71" t="s">
        <v>869</v>
      </c>
      <c r="C2875" s="2">
        <v>4099854048784</v>
      </c>
      <c r="D2875" s="118"/>
      <c r="E2875" s="119"/>
      <c r="F2875" s="25"/>
      <c r="G2875" s="156" t="str">
        <f>HYPERLINK("https://ledvance.com/pt/product-datasheet/251763/235436","Ficha Técnica")</f>
        <v>Ficha Técnica</v>
      </c>
      <c r="H2875" s="15">
        <v>10</v>
      </c>
      <c r="I2875" s="163">
        <v>2452</v>
      </c>
      <c r="J2875" s="15">
        <v>19</v>
      </c>
      <c r="K2875" s="163" t="s">
        <v>46</v>
      </c>
      <c r="L2875" s="15">
        <v>4</v>
      </c>
      <c r="M2875" s="193">
        <v>16.899999999999999</v>
      </c>
      <c r="N2875" s="173" t="s">
        <v>571</v>
      </c>
    </row>
    <row r="2876" spans="1:14" x14ac:dyDescent="0.25">
      <c r="A2876" s="66" t="s">
        <v>570</v>
      </c>
      <c r="B2876" s="73" t="s">
        <v>3877</v>
      </c>
      <c r="C2876" s="52"/>
      <c r="D2876" s="65"/>
      <c r="E2876" s="92"/>
      <c r="F2876" s="12"/>
      <c r="G2876" s="157"/>
      <c r="H2876" s="12"/>
      <c r="I2876" s="62"/>
      <c r="J2876" s="27"/>
      <c r="K2876" s="62"/>
      <c r="L2876" s="12"/>
      <c r="M2876" s="191"/>
      <c r="N2876" s="130"/>
    </row>
    <row r="2877" spans="1:14" x14ac:dyDescent="0.25">
      <c r="A2877" s="63" t="s">
        <v>570</v>
      </c>
      <c r="B2877" s="71" t="s">
        <v>872</v>
      </c>
      <c r="C2877" s="2">
        <v>4099854040368</v>
      </c>
      <c r="D2877" s="118"/>
      <c r="E2877" s="119"/>
      <c r="F2877" s="25"/>
      <c r="G2877" s="156" t="str">
        <f>HYPERLINK("https://ledvance.com/pt/product-datasheet/220048/233754","Ficha Técnica")</f>
        <v>Ficha Técnica</v>
      </c>
      <c r="H2877" s="15">
        <v>6</v>
      </c>
      <c r="I2877" s="163">
        <v>600</v>
      </c>
      <c r="J2877" s="15" t="s">
        <v>1893</v>
      </c>
      <c r="K2877" s="163" t="s">
        <v>46</v>
      </c>
      <c r="L2877" s="15">
        <v>4</v>
      </c>
      <c r="M2877" s="193">
        <v>11.5</v>
      </c>
      <c r="N2877" s="173" t="s">
        <v>571</v>
      </c>
    </row>
    <row r="2878" spans="1:14" x14ac:dyDescent="0.25">
      <c r="A2878" s="63" t="s">
        <v>570</v>
      </c>
      <c r="B2878" s="71" t="s">
        <v>870</v>
      </c>
      <c r="C2878" s="2">
        <v>4058075757608</v>
      </c>
      <c r="D2878" s="118"/>
      <c r="E2878" s="119"/>
      <c r="F2878" s="25"/>
      <c r="G2878" s="156" t="str">
        <f>HYPERLINK("https://ledvance.com/pt/product-datasheet/220048/203091","Ficha Técnica")</f>
        <v>Ficha Técnica</v>
      </c>
      <c r="H2878" s="15">
        <v>6</v>
      </c>
      <c r="I2878" s="163">
        <v>600</v>
      </c>
      <c r="J2878" s="15" t="s">
        <v>1893</v>
      </c>
      <c r="K2878" s="163" t="s">
        <v>46</v>
      </c>
      <c r="L2878" s="15">
        <v>4</v>
      </c>
      <c r="M2878" s="193">
        <v>13.3</v>
      </c>
      <c r="N2878" s="173" t="s">
        <v>571</v>
      </c>
    </row>
    <row r="2879" spans="1:14" x14ac:dyDescent="0.25">
      <c r="A2879" s="63" t="s">
        <v>570</v>
      </c>
      <c r="B2879" s="71" t="s">
        <v>873</v>
      </c>
      <c r="C2879" s="2">
        <v>4099854040467</v>
      </c>
      <c r="D2879" s="118"/>
      <c r="E2879" s="132"/>
      <c r="F2879" s="25"/>
      <c r="G2879" s="156" t="str">
        <f>HYPERLINK("https://ledvance.com/pt/product-datasheet/220048/233760","Ficha Técnica")</f>
        <v>Ficha Técnica</v>
      </c>
      <c r="H2879" s="15">
        <v>6</v>
      </c>
      <c r="I2879" s="163">
        <v>940</v>
      </c>
      <c r="J2879" s="15">
        <v>9</v>
      </c>
      <c r="K2879" s="163" t="s">
        <v>46</v>
      </c>
      <c r="L2879" s="15">
        <v>4</v>
      </c>
      <c r="M2879" s="193">
        <v>15</v>
      </c>
      <c r="N2879" s="173" t="s">
        <v>571</v>
      </c>
    </row>
    <row r="2880" spans="1:14" x14ac:dyDescent="0.25">
      <c r="A2880" s="63" t="s">
        <v>570</v>
      </c>
      <c r="B2880" s="71" t="s">
        <v>871</v>
      </c>
      <c r="C2880" s="2">
        <v>4058075757622</v>
      </c>
      <c r="D2880" s="118"/>
      <c r="E2880" s="119"/>
      <c r="F2880" s="25"/>
      <c r="G2880" s="156" t="str">
        <f>HYPERLINK("https://ledvance.com/pt/product-datasheet/220048/203094","Ficha Técnica")</f>
        <v>Ficha Técnica</v>
      </c>
      <c r="H2880" s="15">
        <v>6</v>
      </c>
      <c r="I2880" s="163">
        <v>940</v>
      </c>
      <c r="J2880" s="15">
        <v>9</v>
      </c>
      <c r="K2880" s="163" t="s">
        <v>46</v>
      </c>
      <c r="L2880" s="15">
        <v>4</v>
      </c>
      <c r="M2880" s="193">
        <v>17.5</v>
      </c>
      <c r="N2880" s="173" t="s">
        <v>571</v>
      </c>
    </row>
    <row r="2881" spans="1:14" x14ac:dyDescent="0.25">
      <c r="A2881" s="66" t="s">
        <v>570</v>
      </c>
      <c r="B2881" s="73" t="s">
        <v>874</v>
      </c>
      <c r="C2881" s="52"/>
      <c r="D2881" s="65"/>
      <c r="E2881" s="92"/>
      <c r="F2881" s="12"/>
      <c r="G2881" s="157"/>
      <c r="H2881" s="12"/>
      <c r="I2881" s="62"/>
      <c r="J2881" s="27"/>
      <c r="K2881" s="62"/>
      <c r="L2881" s="12"/>
      <c r="M2881" s="191"/>
      <c r="N2881" s="130"/>
    </row>
    <row r="2882" spans="1:14" x14ac:dyDescent="0.25">
      <c r="A2882" s="63" t="s">
        <v>570</v>
      </c>
      <c r="B2882" s="71" t="s">
        <v>875</v>
      </c>
      <c r="C2882" s="2">
        <v>4099854044052</v>
      </c>
      <c r="D2882" s="118"/>
      <c r="E2882" s="119"/>
      <c r="F2882" s="25"/>
      <c r="G2882" s="156" t="str">
        <f>HYPERLINK("https://ledvance.com/pt/product-datasheet/251797/234678","Ficha Técnica")</f>
        <v>Ficha Técnica</v>
      </c>
      <c r="H2882" s="15">
        <v>10</v>
      </c>
      <c r="I2882" s="163">
        <v>470</v>
      </c>
      <c r="J2882" s="15" t="s">
        <v>1905</v>
      </c>
      <c r="K2882" s="163" t="s">
        <v>46</v>
      </c>
      <c r="L2882" s="15">
        <v>5</v>
      </c>
      <c r="M2882" s="193">
        <v>7.3</v>
      </c>
      <c r="N2882" s="173" t="s">
        <v>571</v>
      </c>
    </row>
    <row r="2883" spans="1:14" x14ac:dyDescent="0.25">
      <c r="A2883" s="66" t="s">
        <v>570</v>
      </c>
      <c r="B2883" s="73" t="s">
        <v>876</v>
      </c>
      <c r="C2883" s="52"/>
      <c r="D2883" s="65"/>
      <c r="E2883" s="92"/>
      <c r="F2883" s="12"/>
      <c r="G2883" s="157"/>
      <c r="H2883" s="12"/>
      <c r="I2883" s="62"/>
      <c r="J2883" s="27"/>
      <c r="K2883" s="62"/>
      <c r="L2883" s="12"/>
      <c r="M2883" s="191"/>
      <c r="N2883" s="130"/>
    </row>
    <row r="2884" spans="1:14" x14ac:dyDescent="0.25">
      <c r="A2884" s="63" t="s">
        <v>570</v>
      </c>
      <c r="B2884" s="71" t="s">
        <v>877</v>
      </c>
      <c r="C2884" s="2">
        <v>4099854049309</v>
      </c>
      <c r="D2884" s="118"/>
      <c r="E2884" s="119"/>
      <c r="F2884" s="25"/>
      <c r="G2884" s="156" t="str">
        <f>HYPERLINK("https://ledvance.com/pt/product-datasheet/251765/235517","Ficha Técnica")</f>
        <v>Ficha Técnica</v>
      </c>
      <c r="H2884" s="15">
        <v>10</v>
      </c>
      <c r="I2884" s="163">
        <v>470</v>
      </c>
      <c r="J2884" s="15" t="s">
        <v>1905</v>
      </c>
      <c r="K2884" s="163" t="s">
        <v>46</v>
      </c>
      <c r="L2884" s="15">
        <v>4</v>
      </c>
      <c r="M2884" s="193">
        <v>3.8</v>
      </c>
      <c r="N2884" s="173" t="s">
        <v>571</v>
      </c>
    </row>
    <row r="2885" spans="1:14" x14ac:dyDescent="0.25">
      <c r="A2885" s="66" t="s">
        <v>570</v>
      </c>
      <c r="B2885" s="73" t="s">
        <v>878</v>
      </c>
      <c r="C2885" s="52"/>
      <c r="D2885" s="65"/>
      <c r="E2885" s="92"/>
      <c r="F2885" s="12"/>
      <c r="G2885" s="157"/>
      <c r="H2885" s="12"/>
      <c r="I2885" s="62"/>
      <c r="J2885" s="27"/>
      <c r="K2885" s="62"/>
      <c r="L2885" s="12"/>
      <c r="M2885" s="191"/>
      <c r="N2885" s="130"/>
    </row>
    <row r="2886" spans="1:14" x14ac:dyDescent="0.25">
      <c r="A2886" s="63" t="s">
        <v>570</v>
      </c>
      <c r="B2886" s="71" t="s">
        <v>879</v>
      </c>
      <c r="C2886" s="2">
        <v>4099854044083</v>
      </c>
      <c r="D2886" s="118"/>
      <c r="E2886" s="119"/>
      <c r="F2886" s="25"/>
      <c r="G2886" s="156" t="str">
        <f>HYPERLINK("https://ledvance.com/pt/product-datasheet/251799/234681","Ficha Técnica")</f>
        <v>Ficha Técnica</v>
      </c>
      <c r="H2886" s="15">
        <v>10</v>
      </c>
      <c r="I2886" s="163">
        <v>470</v>
      </c>
      <c r="J2886" s="15" t="s">
        <v>1905</v>
      </c>
      <c r="K2886" s="163" t="s">
        <v>46</v>
      </c>
      <c r="L2886" s="15">
        <v>5</v>
      </c>
      <c r="M2886" s="193">
        <v>7.3</v>
      </c>
      <c r="N2886" s="173" t="s">
        <v>571</v>
      </c>
    </row>
    <row r="2887" spans="1:14" x14ac:dyDescent="0.25">
      <c r="A2887" s="66" t="s">
        <v>570</v>
      </c>
      <c r="B2887" s="73" t="s">
        <v>876</v>
      </c>
      <c r="C2887" s="52"/>
      <c r="D2887" s="65"/>
      <c r="E2887" s="92"/>
      <c r="F2887" s="12"/>
      <c r="G2887" s="157"/>
      <c r="H2887" s="12"/>
      <c r="I2887" s="62"/>
      <c r="J2887" s="27"/>
      <c r="K2887" s="62"/>
      <c r="L2887" s="12"/>
      <c r="M2887" s="191"/>
      <c r="N2887" s="130"/>
    </row>
    <row r="2888" spans="1:14" x14ac:dyDescent="0.25">
      <c r="A2888" s="63" t="s">
        <v>570</v>
      </c>
      <c r="B2888" s="71" t="s">
        <v>880</v>
      </c>
      <c r="C2888" s="2">
        <v>4099854049385</v>
      </c>
      <c r="D2888" s="118"/>
      <c r="E2888" s="119"/>
      <c r="F2888" s="25"/>
      <c r="G2888" s="156" t="str">
        <f>HYPERLINK("https://ledvance.com/pt/product-datasheet/251767/235596","Ficha Técnica")</f>
        <v>Ficha Técnica</v>
      </c>
      <c r="H2888" s="15">
        <v>10</v>
      </c>
      <c r="I2888" s="163">
        <v>470</v>
      </c>
      <c r="J2888" s="15" t="s">
        <v>1905</v>
      </c>
      <c r="K2888" s="163" t="s">
        <v>46</v>
      </c>
      <c r="L2888" s="15">
        <v>4</v>
      </c>
      <c r="M2888" s="193">
        <v>3.8</v>
      </c>
      <c r="N2888" s="173" t="s">
        <v>571</v>
      </c>
    </row>
    <row r="2889" spans="1:14" x14ac:dyDescent="0.25">
      <c r="A2889" s="66" t="s">
        <v>570</v>
      </c>
      <c r="B2889" s="73" t="s">
        <v>881</v>
      </c>
      <c r="C2889" s="52"/>
      <c r="D2889" s="65"/>
      <c r="E2889" s="92"/>
      <c r="F2889" s="12"/>
      <c r="G2889" s="157"/>
      <c r="H2889" s="12"/>
      <c r="I2889" s="62"/>
      <c r="J2889" s="27"/>
      <c r="K2889" s="62"/>
      <c r="L2889" s="12"/>
      <c r="M2889" s="191"/>
      <c r="N2889" s="130"/>
    </row>
    <row r="2890" spans="1:14" x14ac:dyDescent="0.25">
      <c r="A2890" s="63" t="s">
        <v>570</v>
      </c>
      <c r="B2890" s="71" t="s">
        <v>882</v>
      </c>
      <c r="C2890" s="2">
        <v>4099854057113</v>
      </c>
      <c r="D2890" s="118"/>
      <c r="E2890" s="119"/>
      <c r="F2890" s="25"/>
      <c r="G2890" s="156" t="str">
        <f>HYPERLINK("https://ledvance.com/pt/product-datasheet/251756/236522","Ficha Técnica")</f>
        <v>Ficha Técnica</v>
      </c>
      <c r="H2890" s="15">
        <v>10</v>
      </c>
      <c r="I2890" s="163">
        <v>806</v>
      </c>
      <c r="J2890" s="15" t="s">
        <v>1920</v>
      </c>
      <c r="K2890" s="163" t="s">
        <v>46</v>
      </c>
      <c r="L2890" s="15">
        <v>4</v>
      </c>
      <c r="M2890" s="193">
        <v>4.9000000000000004</v>
      </c>
      <c r="N2890" s="173" t="s">
        <v>571</v>
      </c>
    </row>
    <row r="2891" spans="1:14" x14ac:dyDescent="0.25">
      <c r="A2891" s="63" t="s">
        <v>570</v>
      </c>
      <c r="B2891" s="71" t="s">
        <v>883</v>
      </c>
      <c r="C2891" s="2">
        <v>4099854057151</v>
      </c>
      <c r="D2891" s="118"/>
      <c r="E2891" s="119"/>
      <c r="F2891" s="25"/>
      <c r="G2891" s="156" t="str">
        <f>HYPERLINK("https://ledvance.com/pt/product-datasheet/251756/236525","Ficha Técnica")</f>
        <v>Ficha Técnica</v>
      </c>
      <c r="H2891" s="15">
        <v>10</v>
      </c>
      <c r="I2891" s="163">
        <v>806</v>
      </c>
      <c r="J2891" s="15" t="s">
        <v>1920</v>
      </c>
      <c r="K2891" s="163" t="s">
        <v>46</v>
      </c>
      <c r="L2891" s="15">
        <v>4</v>
      </c>
      <c r="M2891" s="193">
        <v>4.9000000000000004</v>
      </c>
      <c r="N2891" s="173" t="s">
        <v>571</v>
      </c>
    </row>
    <row r="2892" spans="1:14" x14ac:dyDescent="0.25">
      <c r="A2892" s="63" t="s">
        <v>570</v>
      </c>
      <c r="B2892" s="71" t="s">
        <v>884</v>
      </c>
      <c r="C2892" s="2">
        <v>4099854057175</v>
      </c>
      <c r="D2892" s="118"/>
      <c r="E2892" s="119"/>
      <c r="F2892" s="25"/>
      <c r="G2892" s="156" t="str">
        <f>HYPERLINK("https://ledvance.com/pt/product-datasheet/251756/236528","Ficha Técnica")</f>
        <v>Ficha Técnica</v>
      </c>
      <c r="H2892" s="15">
        <v>10</v>
      </c>
      <c r="I2892" s="163">
        <v>1055</v>
      </c>
      <c r="J2892" s="15" t="s">
        <v>1880</v>
      </c>
      <c r="K2892" s="163" t="s">
        <v>46</v>
      </c>
      <c r="L2892" s="15">
        <v>4</v>
      </c>
      <c r="M2892" s="193">
        <v>7</v>
      </c>
      <c r="N2892" s="173" t="s">
        <v>571</v>
      </c>
    </row>
    <row r="2893" spans="1:14" x14ac:dyDescent="0.25">
      <c r="A2893" s="63" t="s">
        <v>570</v>
      </c>
      <c r="B2893" s="71" t="s">
        <v>885</v>
      </c>
      <c r="C2893" s="2">
        <v>4099854057250</v>
      </c>
      <c r="D2893" s="118"/>
      <c r="E2893" s="119"/>
      <c r="F2893" s="25"/>
      <c r="G2893" s="156" t="str">
        <f>HYPERLINK("https://ledvance.com/pt/product-datasheet/251756/236531","Ficha Técnica")</f>
        <v>Ficha Técnica</v>
      </c>
      <c r="H2893" s="15">
        <v>10</v>
      </c>
      <c r="I2893" s="163">
        <v>1055</v>
      </c>
      <c r="J2893" s="15" t="s">
        <v>1880</v>
      </c>
      <c r="K2893" s="163" t="s">
        <v>46</v>
      </c>
      <c r="L2893" s="15">
        <v>4</v>
      </c>
      <c r="M2893" s="193">
        <v>7</v>
      </c>
      <c r="N2893" s="173" t="s">
        <v>571</v>
      </c>
    </row>
    <row r="2894" spans="1:14" x14ac:dyDescent="0.25">
      <c r="A2894" s="66" t="s">
        <v>570</v>
      </c>
      <c r="B2894" s="73" t="s">
        <v>1456</v>
      </c>
      <c r="C2894" s="52"/>
      <c r="D2894" s="65"/>
      <c r="E2894" s="92"/>
      <c r="F2894" s="12"/>
      <c r="G2894" s="157"/>
      <c r="H2894" s="12"/>
      <c r="I2894" s="62"/>
      <c r="J2894" s="27"/>
      <c r="K2894" s="62"/>
      <c r="L2894" s="12"/>
      <c r="M2894" s="191"/>
      <c r="N2894" s="130"/>
    </row>
    <row r="2895" spans="1:14" x14ac:dyDescent="0.25">
      <c r="A2895" s="63" t="s">
        <v>570</v>
      </c>
      <c r="B2895" s="71" t="s">
        <v>3878</v>
      </c>
      <c r="C2895" s="2">
        <v>4099854247279</v>
      </c>
      <c r="D2895" s="118"/>
      <c r="E2895" s="119"/>
      <c r="G2895" s="156" t="str">
        <f>HYPERLINK("https://ledvance.com/pt/product-datasheet/303978/288922","Ficha Técnica")</f>
        <v>Ficha Técnica</v>
      </c>
      <c r="H2895" s="15">
        <v>6</v>
      </c>
      <c r="I2895" s="163">
        <v>250</v>
      </c>
      <c r="J2895" s="15" t="s">
        <v>1896</v>
      </c>
      <c r="K2895" s="163" t="s">
        <v>46</v>
      </c>
      <c r="L2895" s="15">
        <v>4</v>
      </c>
      <c r="M2895" s="193">
        <v>7.5</v>
      </c>
      <c r="N2895" s="173" t="s">
        <v>571</v>
      </c>
    </row>
    <row r="2896" spans="1:14" x14ac:dyDescent="0.25">
      <c r="A2896" s="63" t="s">
        <v>570</v>
      </c>
      <c r="B2896" s="71" t="s">
        <v>3879</v>
      </c>
      <c r="C2896" s="2">
        <v>4099854247309</v>
      </c>
      <c r="D2896" s="118"/>
      <c r="E2896" s="119"/>
      <c r="G2896" s="156" t="str">
        <f>HYPERLINK("https://ledvance.com/pt/product-datasheet/303978/288931","Ficha Técnica")</f>
        <v>Ficha Técnica</v>
      </c>
      <c r="H2896" s="15">
        <v>6</v>
      </c>
      <c r="I2896" s="163">
        <v>470</v>
      </c>
      <c r="J2896" s="15" t="s">
        <v>1892</v>
      </c>
      <c r="K2896" s="163" t="s">
        <v>46</v>
      </c>
      <c r="L2896" s="15">
        <v>4</v>
      </c>
      <c r="M2896" s="193">
        <v>7.9</v>
      </c>
      <c r="N2896" s="173" t="s">
        <v>571</v>
      </c>
    </row>
    <row r="2897" spans="1:14" x14ac:dyDescent="0.25">
      <c r="A2897" s="63" t="s">
        <v>570</v>
      </c>
      <c r="B2897" s="71" t="s">
        <v>3880</v>
      </c>
      <c r="C2897" s="2">
        <v>4099854247330</v>
      </c>
      <c r="D2897" s="118"/>
      <c r="E2897" s="119"/>
      <c r="G2897" s="156" t="str">
        <f>HYPERLINK("https://ledvance.com/pt/product-datasheet/303978/288936","Ficha Técnica")</f>
        <v>Ficha Técnica</v>
      </c>
      <c r="H2897" s="15">
        <v>6</v>
      </c>
      <c r="I2897" s="163">
        <v>730</v>
      </c>
      <c r="J2897" s="15" t="s">
        <v>1893</v>
      </c>
      <c r="K2897" s="163" t="s">
        <v>46</v>
      </c>
      <c r="L2897" s="15">
        <v>4</v>
      </c>
      <c r="M2897" s="193">
        <v>8.9</v>
      </c>
      <c r="N2897" s="173" t="s">
        <v>571</v>
      </c>
    </row>
    <row r="2898" spans="1:14" x14ac:dyDescent="0.25">
      <c r="A2898" s="66" t="s">
        <v>570</v>
      </c>
      <c r="B2898" s="73" t="s">
        <v>886</v>
      </c>
      <c r="C2898" s="52"/>
      <c r="D2898" s="65"/>
      <c r="E2898" s="92"/>
      <c r="F2898" s="12"/>
      <c r="G2898" s="157"/>
      <c r="H2898" s="12"/>
      <c r="I2898" s="62"/>
      <c r="J2898" s="27"/>
      <c r="K2898" s="62"/>
      <c r="L2898" s="12"/>
      <c r="M2898" s="191"/>
      <c r="N2898" s="130"/>
    </row>
    <row r="2899" spans="1:14" x14ac:dyDescent="0.25">
      <c r="A2899" s="63" t="s">
        <v>570</v>
      </c>
      <c r="B2899" s="71" t="s">
        <v>1474</v>
      </c>
      <c r="C2899" s="2">
        <v>4058075432819</v>
      </c>
      <c r="D2899" s="118"/>
      <c r="E2899" s="119"/>
      <c r="F2899" s="25"/>
      <c r="G2899" s="156" t="str">
        <f>HYPERLINK("https://ledvance.com/pt/product-datasheet/6984/114930","Ficha Técnica")</f>
        <v>Ficha Técnica</v>
      </c>
      <c r="H2899" s="15">
        <v>10</v>
      </c>
      <c r="I2899" s="163">
        <v>50</v>
      </c>
      <c r="J2899" s="15" t="s">
        <v>1922</v>
      </c>
      <c r="K2899" s="163" t="s">
        <v>46</v>
      </c>
      <c r="L2899" s="15">
        <v>3</v>
      </c>
      <c r="M2899" s="193">
        <v>5.8</v>
      </c>
      <c r="N2899" s="173" t="s">
        <v>571</v>
      </c>
    </row>
    <row r="2900" spans="1:14" x14ac:dyDescent="0.25">
      <c r="A2900" s="63" t="s">
        <v>570</v>
      </c>
      <c r="B2900" s="71" t="s">
        <v>889</v>
      </c>
      <c r="C2900" s="2">
        <v>4099854066108</v>
      </c>
      <c r="D2900" s="118"/>
      <c r="E2900" s="119"/>
      <c r="F2900" s="25"/>
      <c r="G2900" s="156" t="str">
        <f>HYPERLINK("https://ledvance.com/pt/product-datasheet/251364/238677","Ficha Técnica")</f>
        <v>Ficha Técnica</v>
      </c>
      <c r="H2900" s="15">
        <v>20</v>
      </c>
      <c r="I2900" s="163">
        <v>110</v>
      </c>
      <c r="J2900" s="15" t="s">
        <v>1923</v>
      </c>
      <c r="K2900" s="163" t="s">
        <v>46</v>
      </c>
      <c r="L2900" s="15">
        <v>4</v>
      </c>
      <c r="M2900" s="193">
        <v>5.8</v>
      </c>
      <c r="N2900" s="173" t="s">
        <v>571</v>
      </c>
    </row>
    <row r="2901" spans="1:14" x14ac:dyDescent="0.25">
      <c r="A2901" s="63" t="s">
        <v>570</v>
      </c>
      <c r="B2901" s="71" t="s">
        <v>890</v>
      </c>
      <c r="C2901" s="2">
        <v>4099854066320</v>
      </c>
      <c r="D2901" s="118"/>
      <c r="E2901" s="119"/>
      <c r="F2901" s="25"/>
      <c r="G2901" s="156" t="str">
        <f>HYPERLINK("https://ledvance.com/pt/product-datasheet/251364/238689","Ficha Técnica")</f>
        <v>Ficha Técnica</v>
      </c>
      <c r="H2901" s="15">
        <v>20</v>
      </c>
      <c r="I2901" s="163">
        <v>250</v>
      </c>
      <c r="J2901" s="15" t="s">
        <v>1896</v>
      </c>
      <c r="K2901" s="163" t="s">
        <v>46</v>
      </c>
      <c r="L2901" s="15">
        <v>4</v>
      </c>
      <c r="M2901" s="193">
        <v>7</v>
      </c>
      <c r="N2901" s="173" t="s">
        <v>571</v>
      </c>
    </row>
    <row r="2902" spans="1:14" x14ac:dyDescent="0.25">
      <c r="A2902" s="63" t="s">
        <v>570</v>
      </c>
      <c r="B2902" s="71" t="s">
        <v>891</v>
      </c>
      <c r="C2902" s="2">
        <v>4099854066498</v>
      </c>
      <c r="D2902" s="118"/>
      <c r="E2902" s="119"/>
      <c r="F2902" s="25"/>
      <c r="G2902" s="156" t="str">
        <f>HYPERLINK("https://ledvance.com/pt/product-datasheet/251364/238701","Ficha Técnica")</f>
        <v>Ficha Técnica</v>
      </c>
      <c r="H2902" s="15">
        <v>20</v>
      </c>
      <c r="I2902" s="163">
        <v>250</v>
      </c>
      <c r="J2902" s="15" t="s">
        <v>1896</v>
      </c>
      <c r="K2902" s="163" t="s">
        <v>46</v>
      </c>
      <c r="L2902" s="15">
        <v>4</v>
      </c>
      <c r="M2902" s="193">
        <v>7</v>
      </c>
      <c r="N2902" s="173" t="s">
        <v>571</v>
      </c>
    </row>
    <row r="2903" spans="1:14" x14ac:dyDescent="0.25">
      <c r="A2903" s="63" t="s">
        <v>570</v>
      </c>
      <c r="B2903" s="71" t="s">
        <v>892</v>
      </c>
      <c r="C2903" s="2">
        <v>4099854066665</v>
      </c>
      <c r="D2903" s="118"/>
      <c r="E2903" s="119"/>
      <c r="F2903" s="25"/>
      <c r="G2903" s="156" t="str">
        <f>HYPERLINK("https://ledvance.com/pt/product-datasheet/251364/238713","Ficha Técnica")</f>
        <v>Ficha Técnica</v>
      </c>
      <c r="H2903" s="15">
        <v>20</v>
      </c>
      <c r="I2903" s="163">
        <v>470</v>
      </c>
      <c r="J2903" s="15" t="s">
        <v>1885</v>
      </c>
      <c r="K2903" s="163" t="s">
        <v>46</v>
      </c>
      <c r="L2903" s="15">
        <v>4</v>
      </c>
      <c r="M2903" s="193">
        <v>7.9</v>
      </c>
      <c r="N2903" s="173" t="s">
        <v>571</v>
      </c>
    </row>
    <row r="2904" spans="1:14" x14ac:dyDescent="0.25">
      <c r="A2904" s="63" t="s">
        <v>570</v>
      </c>
      <c r="B2904" s="71" t="s">
        <v>1473</v>
      </c>
      <c r="C2904" s="2">
        <v>4058075432963</v>
      </c>
      <c r="D2904" s="118"/>
      <c r="E2904" s="119"/>
      <c r="F2904" s="25"/>
      <c r="G2904" s="156" t="str">
        <f>HYPERLINK("https://ledvance.com/pt/product-datasheet/6984/114973","Ficha Técnica")</f>
        <v>Ficha Técnica</v>
      </c>
      <c r="H2904" s="15">
        <v>10</v>
      </c>
      <c r="I2904" s="163">
        <v>730</v>
      </c>
      <c r="J2904" s="15" t="s">
        <v>1893</v>
      </c>
      <c r="K2904" s="163" t="s">
        <v>46</v>
      </c>
      <c r="L2904" s="15">
        <v>3</v>
      </c>
      <c r="M2904" s="193">
        <v>10.4</v>
      </c>
      <c r="N2904" s="173" t="s">
        <v>571</v>
      </c>
    </row>
    <row r="2905" spans="1:14" x14ac:dyDescent="0.25">
      <c r="A2905" s="63" t="s">
        <v>570</v>
      </c>
      <c r="B2905" s="71" t="s">
        <v>887</v>
      </c>
      <c r="C2905" s="2">
        <v>4099854066993</v>
      </c>
      <c r="D2905" s="118"/>
      <c r="E2905" s="119"/>
      <c r="F2905" s="25"/>
      <c r="G2905" s="156" t="str">
        <f>HYPERLINK("https://ledvance.com/pt/product-datasheet/251364/238725","Ficha Técnica")</f>
        <v>Ficha Técnica</v>
      </c>
      <c r="H2905" s="15">
        <v>20</v>
      </c>
      <c r="I2905" s="163">
        <v>200</v>
      </c>
      <c r="J2905" s="15" t="s">
        <v>1924</v>
      </c>
      <c r="K2905" s="163" t="s">
        <v>46</v>
      </c>
      <c r="L2905" s="15">
        <v>4</v>
      </c>
      <c r="M2905" s="193">
        <v>5.3</v>
      </c>
      <c r="N2905" s="173" t="s">
        <v>571</v>
      </c>
    </row>
    <row r="2906" spans="1:14" x14ac:dyDescent="0.25">
      <c r="A2906" s="63" t="s">
        <v>570</v>
      </c>
      <c r="B2906" s="71" t="s">
        <v>888</v>
      </c>
      <c r="C2906" s="2">
        <v>4099854067020</v>
      </c>
      <c r="D2906" s="118"/>
      <c r="E2906" s="119"/>
      <c r="F2906" s="25"/>
      <c r="G2906" s="156" t="str">
        <f>HYPERLINK("https://ledvance.com/pt/product-datasheet/251364/238729","Ficha Técnica")</f>
        <v>Ficha Técnica</v>
      </c>
      <c r="H2906" s="15">
        <v>20</v>
      </c>
      <c r="I2906" s="163">
        <v>200</v>
      </c>
      <c r="J2906" s="15" t="s">
        <v>1924</v>
      </c>
      <c r="K2906" s="163" t="s">
        <v>46</v>
      </c>
      <c r="L2906" s="15">
        <v>4</v>
      </c>
      <c r="M2906" s="193">
        <v>5.3</v>
      </c>
      <c r="N2906" s="173" t="s">
        <v>571</v>
      </c>
    </row>
    <row r="2907" spans="1:14" x14ac:dyDescent="0.25">
      <c r="A2907" s="66" t="s">
        <v>570</v>
      </c>
      <c r="B2907" s="73" t="s">
        <v>893</v>
      </c>
      <c r="C2907" s="52"/>
      <c r="D2907" s="64"/>
      <c r="E2907" s="92"/>
      <c r="F2907" s="12"/>
      <c r="G2907" s="157"/>
      <c r="H2907" s="12"/>
      <c r="I2907" s="62"/>
      <c r="J2907" s="27"/>
      <c r="K2907" s="62"/>
      <c r="L2907" s="12"/>
      <c r="M2907" s="191"/>
      <c r="N2907" s="130"/>
    </row>
    <row r="2908" spans="1:14" x14ac:dyDescent="0.25">
      <c r="A2908" s="63" t="s">
        <v>570</v>
      </c>
      <c r="B2908" s="71" t="s">
        <v>3881</v>
      </c>
      <c r="C2908" s="2">
        <v>4099854267178</v>
      </c>
      <c r="D2908" s="138"/>
      <c r="E2908" s="139"/>
      <c r="G2908" s="156" t="str">
        <f>HYPERLINK("https://ledvance.com/pt/product-datasheet/304001/293289","Ficha Técnica")</f>
        <v>Ficha Técnica</v>
      </c>
      <c r="H2908" s="15">
        <v>4</v>
      </c>
      <c r="I2908" s="163">
        <v>1055</v>
      </c>
      <c r="J2908" s="15">
        <v>8</v>
      </c>
      <c r="K2908" s="163" t="s">
        <v>46</v>
      </c>
      <c r="L2908" s="15">
        <v>5</v>
      </c>
      <c r="M2908" s="193">
        <v>29.9</v>
      </c>
      <c r="N2908" s="173" t="s">
        <v>571</v>
      </c>
    </row>
    <row r="2909" spans="1:14" x14ac:dyDescent="0.25">
      <c r="A2909" s="63" t="s">
        <v>570</v>
      </c>
      <c r="B2909" s="71" t="s">
        <v>3882</v>
      </c>
      <c r="C2909" s="2">
        <v>4099854267222</v>
      </c>
      <c r="D2909" s="138"/>
      <c r="E2909" s="139"/>
      <c r="G2909" s="156" t="str">
        <f>HYPERLINK("https://ledvance.com/pt/product-datasheet/304001/293294","Ficha Técnica")</f>
        <v>Ficha Técnica</v>
      </c>
      <c r="H2909" s="15">
        <v>10</v>
      </c>
      <c r="I2909" s="163">
        <v>806</v>
      </c>
      <c r="J2909" s="15" t="s">
        <v>1893</v>
      </c>
      <c r="K2909" s="163" t="s">
        <v>46</v>
      </c>
      <c r="L2909" s="15">
        <v>5</v>
      </c>
      <c r="M2909" s="193">
        <v>25.6</v>
      </c>
      <c r="N2909" s="173" t="s">
        <v>571</v>
      </c>
    </row>
    <row r="2910" spans="1:14" x14ac:dyDescent="0.25">
      <c r="A2910" s="63" t="s">
        <v>570</v>
      </c>
      <c r="B2910" s="71" t="s">
        <v>3883</v>
      </c>
      <c r="C2910" s="2">
        <v>4099854267277</v>
      </c>
      <c r="D2910" s="138"/>
      <c r="E2910" s="139"/>
      <c r="G2910" s="156" t="str">
        <f>HYPERLINK("https://ledvance.com/pt/product-datasheet/304001/293299","Ficha Técnica")</f>
        <v>Ficha Técnica</v>
      </c>
      <c r="H2910" s="15">
        <v>10</v>
      </c>
      <c r="I2910" s="163">
        <v>806</v>
      </c>
      <c r="J2910" s="15">
        <v>7</v>
      </c>
      <c r="K2910" s="163" t="s">
        <v>46</v>
      </c>
      <c r="L2910" s="15">
        <v>5</v>
      </c>
      <c r="M2910" s="193">
        <v>25.7</v>
      </c>
      <c r="N2910" s="173" t="s">
        <v>571</v>
      </c>
    </row>
    <row r="2911" spans="1:14" x14ac:dyDescent="0.25">
      <c r="A2911" s="63" t="s">
        <v>570</v>
      </c>
      <c r="B2911" s="71" t="s">
        <v>3884</v>
      </c>
      <c r="C2911" s="2">
        <v>4099854267321</v>
      </c>
      <c r="D2911" s="138"/>
      <c r="E2911" s="139"/>
      <c r="G2911" s="156" t="str">
        <f>HYPERLINK("https://ledvance.com/pt/product-datasheet/304001/293304","Ficha Técnica")</f>
        <v>Ficha Técnica</v>
      </c>
      <c r="H2911" s="15">
        <v>10</v>
      </c>
      <c r="I2911" s="163">
        <v>806</v>
      </c>
      <c r="J2911" s="15" t="s">
        <v>1893</v>
      </c>
      <c r="K2911" s="163" t="s">
        <v>46</v>
      </c>
      <c r="L2911" s="15">
        <v>5</v>
      </c>
      <c r="M2911" s="193">
        <v>25.6</v>
      </c>
      <c r="N2911" s="173" t="s">
        <v>571</v>
      </c>
    </row>
    <row r="2912" spans="1:14" x14ac:dyDescent="0.25">
      <c r="A2912" s="66" t="s">
        <v>570</v>
      </c>
      <c r="B2912" s="73" t="s">
        <v>894</v>
      </c>
      <c r="C2912" s="52"/>
      <c r="D2912" s="64"/>
      <c r="E2912" s="92"/>
      <c r="F2912" s="12"/>
      <c r="G2912" s="157"/>
      <c r="H2912" s="12"/>
      <c r="I2912" s="62"/>
      <c r="J2912" s="27"/>
      <c r="K2912" s="62"/>
      <c r="L2912" s="12"/>
      <c r="M2912" s="191"/>
      <c r="N2912" s="130"/>
    </row>
    <row r="2913" spans="1:14" x14ac:dyDescent="0.25">
      <c r="A2913" s="63" t="s">
        <v>570</v>
      </c>
      <c r="B2913" s="71" t="s">
        <v>3885</v>
      </c>
      <c r="C2913" s="2">
        <v>4099854267123</v>
      </c>
      <c r="D2913" s="138"/>
      <c r="E2913" s="139"/>
      <c r="G2913" s="156" t="str">
        <f>HYPERLINK("https://ledvance.com/pt/product-datasheet/303983/293281","Ficha Técnica")</f>
        <v>Ficha Técnica</v>
      </c>
      <c r="H2913" s="15">
        <v>4</v>
      </c>
      <c r="I2913" s="163">
        <v>806</v>
      </c>
      <c r="J2913" s="15" t="s">
        <v>1893</v>
      </c>
      <c r="K2913" s="163" t="s">
        <v>46</v>
      </c>
      <c r="L2913" s="15">
        <v>4</v>
      </c>
      <c r="M2913" s="193">
        <v>25.6</v>
      </c>
      <c r="N2913" s="173" t="s">
        <v>571</v>
      </c>
    </row>
    <row r="2914" spans="1:14" x14ac:dyDescent="0.25">
      <c r="A2914" s="66" t="s">
        <v>570</v>
      </c>
      <c r="B2914" s="73" t="s">
        <v>895</v>
      </c>
      <c r="C2914" s="52"/>
      <c r="D2914" s="64"/>
      <c r="E2914" s="92"/>
      <c r="F2914" s="12"/>
      <c r="G2914" s="157"/>
      <c r="H2914" s="12"/>
      <c r="I2914" s="62"/>
      <c r="J2914" s="27"/>
      <c r="K2914" s="62"/>
      <c r="L2914" s="12"/>
      <c r="M2914" s="191"/>
      <c r="N2914" s="130"/>
    </row>
    <row r="2915" spans="1:14" x14ac:dyDescent="0.25">
      <c r="A2915" s="63" t="s">
        <v>570</v>
      </c>
      <c r="B2915" s="71" t="s">
        <v>1419</v>
      </c>
      <c r="C2915" s="2">
        <v>4099854248542</v>
      </c>
      <c r="D2915" s="95">
        <v>4099854064661</v>
      </c>
      <c r="E2915" s="96" t="s">
        <v>896</v>
      </c>
      <c r="G2915" s="156" t="str">
        <f>HYPERLINK("https://ledvance.com/pt/product-datasheet/251362/288874","Ficha Técnica")</f>
        <v>Ficha Técnica</v>
      </c>
      <c r="H2915" s="15">
        <v>20</v>
      </c>
      <c r="I2915" s="163">
        <v>200</v>
      </c>
      <c r="J2915" s="15">
        <v>2</v>
      </c>
      <c r="K2915" s="163" t="s">
        <v>46</v>
      </c>
      <c r="L2915" s="15">
        <v>5</v>
      </c>
      <c r="M2915" s="193">
        <v>13.1</v>
      </c>
      <c r="N2915" s="173" t="s">
        <v>571</v>
      </c>
    </row>
    <row r="2916" spans="1:14" x14ac:dyDescent="0.25">
      <c r="A2916" s="63" t="s">
        <v>570</v>
      </c>
      <c r="B2916" s="71" t="s">
        <v>3886</v>
      </c>
      <c r="C2916" s="2">
        <v>4099854248573</v>
      </c>
      <c r="D2916" s="95"/>
      <c r="E2916" s="61"/>
      <c r="G2916" s="156" t="str">
        <f>HYPERLINK("https://ledvance.com/pt/product-datasheet/251362/288895","Ficha Técnica")</f>
        <v>Ficha Técnica</v>
      </c>
      <c r="H2916" s="15" t="s">
        <v>2104</v>
      </c>
      <c r="I2916" s="163">
        <v>470</v>
      </c>
      <c r="J2916" s="15" t="s">
        <v>3979</v>
      </c>
      <c r="K2916" s="163" t="s">
        <v>46</v>
      </c>
      <c r="L2916" s="15">
        <v>5</v>
      </c>
      <c r="M2916" s="193">
        <v>16.5</v>
      </c>
      <c r="N2916" s="173" t="s">
        <v>571</v>
      </c>
    </row>
    <row r="2917" spans="1:14" x14ac:dyDescent="0.25">
      <c r="A2917" s="63" t="s">
        <v>570</v>
      </c>
      <c r="B2917" s="71" t="s">
        <v>897</v>
      </c>
      <c r="C2917" s="2">
        <v>4058075607255</v>
      </c>
      <c r="D2917" s="118"/>
      <c r="E2917" s="119"/>
      <c r="F2917" s="25"/>
      <c r="G2917" s="156" t="str">
        <f>HYPERLINK("https://ledvance.com/pt/product-datasheet/6987/155161","Ficha Técnica")</f>
        <v>Ficha Técnica</v>
      </c>
      <c r="H2917" s="15">
        <v>6</v>
      </c>
      <c r="I2917" s="163">
        <v>470</v>
      </c>
      <c r="J2917" s="15" t="s">
        <v>1903</v>
      </c>
      <c r="K2917" s="163" t="s">
        <v>46</v>
      </c>
      <c r="L2917" s="15">
        <v>4</v>
      </c>
      <c r="M2917" s="193">
        <v>16.5</v>
      </c>
      <c r="N2917" s="173" t="s">
        <v>571</v>
      </c>
    </row>
    <row r="2918" spans="1:14" x14ac:dyDescent="0.25">
      <c r="A2918" s="66" t="s">
        <v>570</v>
      </c>
      <c r="B2918" s="73" t="s">
        <v>898</v>
      </c>
      <c r="C2918" s="52"/>
      <c r="D2918" s="65"/>
      <c r="E2918" s="92"/>
      <c r="F2918" s="12"/>
      <c r="G2918" s="157"/>
      <c r="H2918" s="12"/>
      <c r="I2918" s="62"/>
      <c r="J2918" s="27"/>
      <c r="K2918" s="62"/>
      <c r="L2918" s="12"/>
      <c r="M2918" s="191"/>
      <c r="N2918" s="130"/>
    </row>
    <row r="2919" spans="1:14" x14ac:dyDescent="0.25">
      <c r="A2919" s="63" t="s">
        <v>570</v>
      </c>
      <c r="B2919" s="71" t="s">
        <v>1475</v>
      </c>
      <c r="C2919" s="2">
        <v>4099854278563</v>
      </c>
      <c r="D2919" s="118"/>
      <c r="E2919" s="119"/>
      <c r="F2919" s="25"/>
      <c r="G2919" s="156" t="s">
        <v>2004</v>
      </c>
      <c r="H2919" s="15">
        <v>10</v>
      </c>
      <c r="I2919" s="163">
        <v>100</v>
      </c>
      <c r="J2919" s="15">
        <v>1</v>
      </c>
      <c r="K2919" s="163" t="s">
        <v>46</v>
      </c>
      <c r="L2919" s="15">
        <v>3</v>
      </c>
      <c r="M2919" s="193">
        <v>10.5</v>
      </c>
      <c r="N2919" s="173" t="s">
        <v>571</v>
      </c>
    </row>
    <row r="2920" spans="1:14" x14ac:dyDescent="0.25">
      <c r="A2920" s="63" t="s">
        <v>570</v>
      </c>
      <c r="B2920" s="71" t="s">
        <v>899</v>
      </c>
      <c r="C2920" s="2">
        <v>4099854064722</v>
      </c>
      <c r="D2920" s="118"/>
      <c r="E2920" s="119"/>
      <c r="F2920" s="25"/>
      <c r="G2920" s="156" t="str">
        <f>HYPERLINK("https://ledvance.com/pt/product-datasheet/251363/237830","Ficha Técnica")</f>
        <v>Ficha Técnica</v>
      </c>
      <c r="H2920" s="15">
        <v>20</v>
      </c>
      <c r="I2920" s="163">
        <v>100</v>
      </c>
      <c r="J2920" s="15" t="s">
        <v>1925</v>
      </c>
      <c r="K2920" s="163" t="s">
        <v>46</v>
      </c>
      <c r="L2920" s="15">
        <v>4</v>
      </c>
      <c r="M2920" s="193">
        <v>5.6</v>
      </c>
      <c r="N2920" s="173" t="s">
        <v>571</v>
      </c>
    </row>
    <row r="2921" spans="1:14" x14ac:dyDescent="0.25">
      <c r="A2921" s="63" t="s">
        <v>570</v>
      </c>
      <c r="B2921" s="71" t="s">
        <v>1420</v>
      </c>
      <c r="C2921" s="2">
        <v>4099854248603</v>
      </c>
      <c r="D2921" s="95">
        <v>4099854064753</v>
      </c>
      <c r="E2921" s="96" t="s">
        <v>1421</v>
      </c>
      <c r="G2921" s="156" t="str">
        <f>HYPERLINK("https://ledvance.com/pt/product-datasheet/251363/288869","Ficha Técnica")</f>
        <v>Ficha Técnica</v>
      </c>
      <c r="H2921" s="15">
        <v>20</v>
      </c>
      <c r="I2921" s="163">
        <v>200</v>
      </c>
      <c r="J2921" s="15" t="s">
        <v>1897</v>
      </c>
      <c r="K2921" s="163" t="s">
        <v>46</v>
      </c>
      <c r="L2921" s="15">
        <v>4</v>
      </c>
      <c r="M2921" s="193">
        <v>7.4</v>
      </c>
      <c r="N2921" s="173" t="s">
        <v>571</v>
      </c>
    </row>
    <row r="2922" spans="1:14" x14ac:dyDescent="0.25">
      <c r="A2922" s="63" t="s">
        <v>570</v>
      </c>
      <c r="B2922" s="71" t="s">
        <v>1422</v>
      </c>
      <c r="C2922" s="2">
        <v>4099854248726</v>
      </c>
      <c r="D2922" s="95">
        <v>4099854048616</v>
      </c>
      <c r="E2922" s="96" t="s">
        <v>1423</v>
      </c>
      <c r="G2922" s="156" t="str">
        <f>HYPERLINK("https://ledvance.com/pt/product-datasheet/251363/288880","Ficha Técnica")</f>
        <v>Ficha Técnica</v>
      </c>
      <c r="H2922" s="15">
        <v>20</v>
      </c>
      <c r="I2922" s="163">
        <v>300</v>
      </c>
      <c r="J2922" s="15" t="s">
        <v>1886</v>
      </c>
      <c r="K2922" s="163" t="s">
        <v>46</v>
      </c>
      <c r="L2922" s="15">
        <v>4</v>
      </c>
      <c r="M2922" s="193">
        <v>9.6999999999999993</v>
      </c>
      <c r="N2922" s="173" t="s">
        <v>571</v>
      </c>
    </row>
    <row r="2923" spans="1:14" x14ac:dyDescent="0.25">
      <c r="A2923" s="63" t="s">
        <v>570</v>
      </c>
      <c r="B2923" s="71" t="s">
        <v>1424</v>
      </c>
      <c r="C2923" s="2">
        <v>4099854248665</v>
      </c>
      <c r="D2923" s="95">
        <v>4099854048470</v>
      </c>
      <c r="E2923" s="96" t="s">
        <v>1425</v>
      </c>
      <c r="G2923" s="156" t="str">
        <f>HYPERLINK("https://ledvance.com/pt/product-datasheet/251363/288947","Ficha Técnica")</f>
        <v>Ficha Técnica</v>
      </c>
      <c r="H2923" s="15">
        <v>20</v>
      </c>
      <c r="I2923" s="163">
        <v>300</v>
      </c>
      <c r="J2923" s="15" t="s">
        <v>1886</v>
      </c>
      <c r="K2923" s="163" t="s">
        <v>46</v>
      </c>
      <c r="L2923" s="15">
        <v>4</v>
      </c>
      <c r="M2923" s="193">
        <v>9.6999999999999993</v>
      </c>
      <c r="N2923" s="173" t="s">
        <v>571</v>
      </c>
    </row>
    <row r="2924" spans="1:14" x14ac:dyDescent="0.25">
      <c r="A2924" s="63" t="s">
        <v>570</v>
      </c>
      <c r="B2924" s="71" t="s">
        <v>1426</v>
      </c>
      <c r="C2924" s="2">
        <v>4099854248757</v>
      </c>
      <c r="D2924" s="95">
        <v>4099854064692</v>
      </c>
      <c r="E2924" s="96" t="s">
        <v>900</v>
      </c>
      <c r="G2924" s="156" t="str">
        <f>HYPERLINK("https://ledvance.com/pt/product-datasheet/251363/288952","Ficha Técnica")</f>
        <v>Ficha Técnica</v>
      </c>
      <c r="H2924" s="15">
        <v>20</v>
      </c>
      <c r="I2924" s="163">
        <v>470</v>
      </c>
      <c r="J2924" s="15" t="s">
        <v>1926</v>
      </c>
      <c r="K2924" s="163" t="s">
        <v>46</v>
      </c>
      <c r="L2924" s="15">
        <v>4</v>
      </c>
      <c r="M2924" s="193">
        <v>12.3</v>
      </c>
      <c r="N2924" s="173" t="s">
        <v>571</v>
      </c>
    </row>
    <row r="2925" spans="1:14" x14ac:dyDescent="0.25">
      <c r="A2925" s="66" t="s">
        <v>570</v>
      </c>
      <c r="B2925" s="73" t="s">
        <v>901</v>
      </c>
      <c r="C2925" s="52"/>
      <c r="D2925" s="65"/>
      <c r="E2925" s="92"/>
      <c r="F2925" s="12"/>
      <c r="G2925" s="157"/>
      <c r="H2925" s="12"/>
      <c r="I2925" s="62"/>
      <c r="J2925" s="27"/>
      <c r="K2925" s="62"/>
      <c r="L2925" s="12"/>
      <c r="M2925" s="191"/>
      <c r="N2925" s="130"/>
    </row>
    <row r="2926" spans="1:14" x14ac:dyDescent="0.25">
      <c r="A2926" s="63" t="s">
        <v>570</v>
      </c>
      <c r="B2926" s="71" t="s">
        <v>902</v>
      </c>
      <c r="C2926" s="2">
        <v>4099854248788</v>
      </c>
      <c r="D2926" s="95">
        <v>4099854048586</v>
      </c>
      <c r="E2926" s="96" t="s">
        <v>902</v>
      </c>
      <c r="G2926" s="156" t="str">
        <f>HYPERLINK("https://ledvance.com/pt/product-datasheet/251359/288858","Ficha Técnica")</f>
        <v>Ficha Técnica</v>
      </c>
      <c r="H2926" s="15">
        <v>20</v>
      </c>
      <c r="I2926" s="163">
        <v>320</v>
      </c>
      <c r="J2926" s="15">
        <v>3</v>
      </c>
      <c r="K2926" s="163" t="s">
        <v>46</v>
      </c>
      <c r="L2926" s="15">
        <v>5</v>
      </c>
      <c r="M2926" s="193">
        <v>12.3</v>
      </c>
      <c r="N2926" s="173" t="s">
        <v>571</v>
      </c>
    </row>
    <row r="2927" spans="1:14" x14ac:dyDescent="0.25">
      <c r="A2927" s="63" t="s">
        <v>570</v>
      </c>
      <c r="B2927" s="71" t="s">
        <v>903</v>
      </c>
      <c r="C2927" s="2">
        <v>4099854248818</v>
      </c>
      <c r="D2927" s="95">
        <v>4099854064814</v>
      </c>
      <c r="E2927" s="96" t="s">
        <v>903</v>
      </c>
      <c r="G2927" s="156" t="str">
        <f>HYPERLINK("https://ledvance.com/pt/product-datasheet/251359/288863","Ficha Técnica")</f>
        <v>Ficha Técnica</v>
      </c>
      <c r="H2927" s="15">
        <v>20</v>
      </c>
      <c r="I2927" s="163">
        <v>470</v>
      </c>
      <c r="J2927" s="15">
        <v>4</v>
      </c>
      <c r="K2927" s="163" t="s">
        <v>46</v>
      </c>
      <c r="L2927" s="15">
        <v>5</v>
      </c>
      <c r="M2927" s="193">
        <v>20.100000000000001</v>
      </c>
      <c r="N2927" s="173" t="s">
        <v>571</v>
      </c>
    </row>
    <row r="2928" spans="1:14" x14ac:dyDescent="0.25">
      <c r="A2928" s="63" t="s">
        <v>570</v>
      </c>
      <c r="B2928" s="71" t="s">
        <v>1427</v>
      </c>
      <c r="C2928" s="2">
        <v>4099854248849</v>
      </c>
      <c r="D2928" s="93"/>
      <c r="E2928" s="61"/>
      <c r="G2928" s="156" t="str">
        <f>HYPERLINK("https://ledvance.com/pt/product-datasheet/251359/288906","Ficha Técnica")</f>
        <v>Ficha Técnica</v>
      </c>
      <c r="H2928" s="15">
        <v>20</v>
      </c>
      <c r="I2928" s="163">
        <v>600</v>
      </c>
      <c r="J2928" s="15" t="s">
        <v>1927</v>
      </c>
      <c r="K2928" s="163" t="s">
        <v>46</v>
      </c>
      <c r="L2928" s="15">
        <v>5</v>
      </c>
      <c r="M2928" s="193">
        <v>21</v>
      </c>
      <c r="N2928" s="173" t="s">
        <v>571</v>
      </c>
    </row>
    <row r="2929" spans="1:14" x14ac:dyDescent="0.25">
      <c r="A2929" s="66" t="s">
        <v>570</v>
      </c>
      <c r="B2929" s="73" t="s">
        <v>904</v>
      </c>
      <c r="C2929" s="52"/>
      <c r="D2929" s="64"/>
      <c r="E2929" s="92"/>
      <c r="F2929" s="12"/>
      <c r="G2929" s="157"/>
      <c r="H2929" s="12"/>
      <c r="I2929" s="62"/>
      <c r="J2929" s="27"/>
      <c r="K2929" s="62"/>
      <c r="L2929" s="12"/>
      <c r="M2929" s="191"/>
      <c r="N2929" s="130"/>
    </row>
    <row r="2930" spans="1:14" x14ac:dyDescent="0.25">
      <c r="A2930" s="63" t="s">
        <v>570</v>
      </c>
      <c r="B2930" s="71" t="s">
        <v>1428</v>
      </c>
      <c r="C2930" s="2">
        <v>4099854248870</v>
      </c>
      <c r="D2930" s="95">
        <v>4099854064579</v>
      </c>
      <c r="E2930" s="96" t="s">
        <v>1428</v>
      </c>
      <c r="G2930" s="156" t="str">
        <f>HYPERLINK("https://ledvance.com/pt/product-datasheet/251358/288907","Ficha Técnica")</f>
        <v>Ficha Técnica</v>
      </c>
      <c r="H2930" s="15">
        <v>20</v>
      </c>
      <c r="I2930" s="163">
        <v>200</v>
      </c>
      <c r="J2930" s="15" t="s">
        <v>1928</v>
      </c>
      <c r="K2930" s="163" t="s">
        <v>46</v>
      </c>
      <c r="L2930" s="15">
        <v>4</v>
      </c>
      <c r="M2930" s="193">
        <v>7.4</v>
      </c>
      <c r="N2930" s="173" t="s">
        <v>571</v>
      </c>
    </row>
    <row r="2931" spans="1:14" x14ac:dyDescent="0.25">
      <c r="A2931" s="63" t="s">
        <v>570</v>
      </c>
      <c r="B2931" s="71" t="s">
        <v>1429</v>
      </c>
      <c r="C2931" s="2">
        <v>4099854248931</v>
      </c>
      <c r="D2931" s="95">
        <v>4099854064548</v>
      </c>
      <c r="E2931" s="96" t="s">
        <v>1429</v>
      </c>
      <c r="G2931" s="156" t="str">
        <f>HYPERLINK("https://ledvance.com/pt/product-datasheet/251358/288833","Ficha Técnica")</f>
        <v>Ficha Técnica</v>
      </c>
      <c r="H2931" s="15">
        <v>20</v>
      </c>
      <c r="I2931" s="163">
        <v>320</v>
      </c>
      <c r="J2931" s="15" t="s">
        <v>1910</v>
      </c>
      <c r="K2931" s="163" t="s">
        <v>46</v>
      </c>
      <c r="L2931" s="15">
        <v>4</v>
      </c>
      <c r="M2931" s="193">
        <v>8.6</v>
      </c>
      <c r="N2931" s="173" t="s">
        <v>571</v>
      </c>
    </row>
    <row r="2932" spans="1:14" x14ac:dyDescent="0.25">
      <c r="A2932" s="63" t="s">
        <v>570</v>
      </c>
      <c r="B2932" s="71" t="s">
        <v>1430</v>
      </c>
      <c r="C2932" s="2">
        <v>4099854248900</v>
      </c>
      <c r="D2932" s="95">
        <v>4099854064517</v>
      </c>
      <c r="E2932" s="96" t="s">
        <v>1430</v>
      </c>
      <c r="F2932" s="33"/>
      <c r="G2932" s="156" t="str">
        <f>HYPERLINK("https://ledvance.com/pt/product-datasheet/251358/288839","Ficha Técnica")</f>
        <v>Ficha Técnica</v>
      </c>
      <c r="H2932" s="15">
        <v>20</v>
      </c>
      <c r="I2932" s="163">
        <v>320</v>
      </c>
      <c r="J2932" s="15" t="s">
        <v>1910</v>
      </c>
      <c r="K2932" s="163" t="s">
        <v>46</v>
      </c>
      <c r="L2932" s="15">
        <v>4</v>
      </c>
      <c r="M2932" s="193">
        <v>8.6</v>
      </c>
      <c r="N2932" s="173" t="s">
        <v>571</v>
      </c>
    </row>
    <row r="2933" spans="1:14" x14ac:dyDescent="0.25">
      <c r="A2933" s="63" t="s">
        <v>570</v>
      </c>
      <c r="B2933" s="71" t="s">
        <v>1431</v>
      </c>
      <c r="C2933" s="2">
        <v>4099854248962</v>
      </c>
      <c r="D2933" s="95">
        <v>4099854064609</v>
      </c>
      <c r="E2933" s="96" t="s">
        <v>1431</v>
      </c>
      <c r="G2933" s="156" t="str">
        <f>HYPERLINK("https://ledvance.com/pt/product-datasheet/251358/288847","Ficha Técnica")</f>
        <v>Ficha Técnica</v>
      </c>
      <c r="H2933" s="15">
        <v>20</v>
      </c>
      <c r="I2933" s="163">
        <v>470</v>
      </c>
      <c r="J2933" s="15" t="s">
        <v>1885</v>
      </c>
      <c r="K2933" s="163" t="s">
        <v>46</v>
      </c>
      <c r="L2933" s="15">
        <v>4</v>
      </c>
      <c r="M2933" s="193">
        <v>12.3</v>
      </c>
      <c r="N2933" s="173" t="s">
        <v>571</v>
      </c>
    </row>
    <row r="2934" spans="1:14" x14ac:dyDescent="0.25">
      <c r="A2934" s="63" t="s">
        <v>570</v>
      </c>
      <c r="B2934" s="71" t="s">
        <v>1432</v>
      </c>
      <c r="C2934" s="2">
        <v>4099854248993</v>
      </c>
      <c r="D2934" s="95">
        <v>4099854064630</v>
      </c>
      <c r="E2934" s="96" t="s">
        <v>1432</v>
      </c>
      <c r="G2934" s="156" t="str">
        <f>HYPERLINK("https://ledvance.com/pt/product-datasheet/251358/288852","Ficha Técnica")</f>
        <v>Ficha Técnica</v>
      </c>
      <c r="H2934" s="15">
        <v>20</v>
      </c>
      <c r="I2934" s="163">
        <v>470</v>
      </c>
      <c r="J2934" s="15" t="s">
        <v>1885</v>
      </c>
      <c r="K2934" s="163" t="s">
        <v>46</v>
      </c>
      <c r="L2934" s="15">
        <v>4</v>
      </c>
      <c r="M2934" s="193">
        <v>12.3</v>
      </c>
      <c r="N2934" s="173" t="s">
        <v>571</v>
      </c>
    </row>
    <row r="2935" spans="1:14" x14ac:dyDescent="0.25">
      <c r="A2935" s="63" t="s">
        <v>570</v>
      </c>
      <c r="B2935" s="71" t="s">
        <v>1433</v>
      </c>
      <c r="C2935" s="2">
        <v>4099854249020</v>
      </c>
      <c r="D2935" s="95">
        <v>4099854064784</v>
      </c>
      <c r="E2935" s="96" t="s">
        <v>1434</v>
      </c>
      <c r="G2935" s="156" t="str">
        <f>HYPERLINK("https://ledvance.com/pt/product-datasheet/251358/288926","Ficha Técnica")</f>
        <v>Ficha Técnica</v>
      </c>
      <c r="H2935" s="15">
        <v>20</v>
      </c>
      <c r="I2935" s="163">
        <v>600</v>
      </c>
      <c r="J2935" s="15" t="s">
        <v>1903</v>
      </c>
      <c r="K2935" s="163" t="s">
        <v>46</v>
      </c>
      <c r="L2935" s="15">
        <v>4</v>
      </c>
      <c r="M2935" s="193">
        <v>18.399999999999999</v>
      </c>
      <c r="N2935" s="173" t="s">
        <v>571</v>
      </c>
    </row>
    <row r="2936" spans="1:14" x14ac:dyDescent="0.25">
      <c r="A2936" s="63" t="s">
        <v>570</v>
      </c>
      <c r="B2936" s="71" t="s">
        <v>1435</v>
      </c>
      <c r="C2936" s="2">
        <v>4099854249051</v>
      </c>
      <c r="D2936" s="95">
        <v>4099854064845</v>
      </c>
      <c r="E2936" s="96" t="s">
        <v>1436</v>
      </c>
      <c r="G2936" s="156" t="str">
        <f>HYPERLINK("https://ledvance.com/pt/product-datasheet/251358/288941","Ficha Técnica")</f>
        <v>Ficha Técnica</v>
      </c>
      <c r="H2936" s="15">
        <v>20</v>
      </c>
      <c r="I2936" s="163">
        <v>600</v>
      </c>
      <c r="J2936" s="15" t="s">
        <v>1903</v>
      </c>
      <c r="K2936" s="163" t="s">
        <v>46</v>
      </c>
      <c r="L2936" s="15">
        <v>4</v>
      </c>
      <c r="M2936" s="193">
        <v>18.399999999999999</v>
      </c>
      <c r="N2936" s="173" t="s">
        <v>571</v>
      </c>
    </row>
    <row r="2937" spans="1:14" x14ac:dyDescent="0.25">
      <c r="A2937" s="63" t="s">
        <v>570</v>
      </c>
      <c r="B2937" s="71" t="s">
        <v>1437</v>
      </c>
      <c r="C2937" s="2">
        <v>4058075840560</v>
      </c>
      <c r="D2937" s="93"/>
      <c r="E2937" s="61" t="s">
        <v>1439</v>
      </c>
      <c r="G2937" s="156" t="str">
        <f>HYPERLINK("https://ledvance.com/pt/product-datasheet/251358/312826","Ficha Técnica")</f>
        <v>Ficha Técnica</v>
      </c>
      <c r="H2937" s="15">
        <v>20</v>
      </c>
      <c r="I2937" s="163">
        <v>806</v>
      </c>
      <c r="J2937" s="15" t="s">
        <v>1905</v>
      </c>
      <c r="K2937" s="163" t="s">
        <v>46</v>
      </c>
      <c r="L2937" s="15">
        <v>4</v>
      </c>
      <c r="M2937" s="193">
        <v>23.2</v>
      </c>
      <c r="N2937" s="173" t="s">
        <v>571</v>
      </c>
    </row>
    <row r="2938" spans="1:14" x14ac:dyDescent="0.25">
      <c r="A2938" s="63" t="s">
        <v>570</v>
      </c>
      <c r="B2938" s="71" t="s">
        <v>1438</v>
      </c>
      <c r="C2938" s="2">
        <v>4058075840584</v>
      </c>
      <c r="D2938" s="93"/>
      <c r="E2938" s="61"/>
      <c r="G2938" s="156" t="str">
        <f>HYPERLINK("https://ledvance.com/pt/product-datasheet/251358/312834","Ficha Técnica")</f>
        <v>Ficha Técnica</v>
      </c>
      <c r="H2938" s="15">
        <v>20</v>
      </c>
      <c r="I2938" s="163">
        <v>806</v>
      </c>
      <c r="J2938" s="15" t="s">
        <v>1905</v>
      </c>
      <c r="K2938" s="163" t="s">
        <v>46</v>
      </c>
      <c r="L2938" s="15">
        <v>4</v>
      </c>
      <c r="M2938" s="193">
        <v>23.2</v>
      </c>
      <c r="N2938" s="173" t="s">
        <v>571</v>
      </c>
    </row>
    <row r="2939" spans="1:14" x14ac:dyDescent="0.25">
      <c r="A2939" s="66" t="s">
        <v>570</v>
      </c>
      <c r="B2939" s="73" t="s">
        <v>905</v>
      </c>
      <c r="C2939" s="52"/>
      <c r="D2939" s="65"/>
      <c r="E2939" s="92"/>
      <c r="F2939" s="12"/>
      <c r="G2939" s="157"/>
      <c r="H2939" s="12"/>
      <c r="I2939" s="62"/>
      <c r="J2939" s="27"/>
      <c r="K2939" s="62"/>
      <c r="L2939" s="12"/>
      <c r="M2939" s="191"/>
      <c r="N2939" s="130"/>
    </row>
    <row r="2940" spans="1:14" x14ac:dyDescent="0.25">
      <c r="A2940" s="63" t="s">
        <v>570</v>
      </c>
      <c r="B2940" s="71" t="s">
        <v>906</v>
      </c>
      <c r="C2940" s="2">
        <v>4058075757943</v>
      </c>
      <c r="D2940" s="93"/>
      <c r="E2940" s="61"/>
      <c r="F2940" s="25"/>
      <c r="G2940" s="156" t="str">
        <f>HYPERLINK("https://ledvance.com/pt/product-datasheet/6985/208741","Ficha Técnica")</f>
        <v>Ficha Técnica</v>
      </c>
      <c r="H2940" s="15">
        <v>6</v>
      </c>
      <c r="I2940" s="163">
        <v>180</v>
      </c>
      <c r="J2940" s="15" t="s">
        <v>1928</v>
      </c>
      <c r="K2940" s="163" t="s">
        <v>46</v>
      </c>
      <c r="L2940" s="15">
        <v>3</v>
      </c>
      <c r="M2940" s="193">
        <v>7.5</v>
      </c>
      <c r="N2940" s="173" t="s">
        <v>571</v>
      </c>
    </row>
    <row r="2941" spans="1:14" x14ac:dyDescent="0.25">
      <c r="A2941" s="63" t="s">
        <v>570</v>
      </c>
      <c r="B2941" s="71" t="s">
        <v>907</v>
      </c>
      <c r="C2941" s="2">
        <v>4058075757967</v>
      </c>
      <c r="D2941" s="93"/>
      <c r="E2941" s="61"/>
      <c r="F2941" s="25"/>
      <c r="G2941" s="156" t="str">
        <f>HYPERLINK("https://ledvance.com/pt/product-datasheet/6985/208747","Ficha Técnica")</f>
        <v>Ficha Técnica</v>
      </c>
      <c r="H2941" s="15">
        <v>6</v>
      </c>
      <c r="I2941" s="163">
        <v>290</v>
      </c>
      <c r="J2941" s="15" t="s">
        <v>1910</v>
      </c>
      <c r="K2941" s="163" t="s">
        <v>46</v>
      </c>
      <c r="L2941" s="15">
        <v>3</v>
      </c>
      <c r="M2941" s="193">
        <v>9.6999999999999993</v>
      </c>
      <c r="N2941" s="173" t="s">
        <v>571</v>
      </c>
    </row>
    <row r="2942" spans="1:14" x14ac:dyDescent="0.25">
      <c r="A2942" s="63" t="s">
        <v>570</v>
      </c>
      <c r="B2942" s="71" t="s">
        <v>908</v>
      </c>
      <c r="C2942" s="2">
        <v>4058075757981</v>
      </c>
      <c r="D2942" s="93"/>
      <c r="E2942" s="61"/>
      <c r="F2942" s="25"/>
      <c r="G2942" s="156" t="str">
        <f>HYPERLINK("https://ledvance.com/pt/product-datasheet/6985/208751","Ficha Técnica")</f>
        <v>Ficha Técnica</v>
      </c>
      <c r="H2942" s="15">
        <v>6</v>
      </c>
      <c r="I2942" s="163">
        <v>430</v>
      </c>
      <c r="J2942" s="15" t="s">
        <v>1885</v>
      </c>
      <c r="K2942" s="163" t="s">
        <v>46</v>
      </c>
      <c r="L2942" s="15">
        <v>3</v>
      </c>
      <c r="M2942" s="193">
        <v>10.5</v>
      </c>
      <c r="N2942" s="173" t="s">
        <v>571</v>
      </c>
    </row>
    <row r="2943" spans="1:14" x14ac:dyDescent="0.25">
      <c r="A2943" s="66" t="s">
        <v>570</v>
      </c>
      <c r="B2943" s="73" t="s">
        <v>1457</v>
      </c>
      <c r="C2943" s="52"/>
      <c r="D2943" s="65"/>
      <c r="E2943" s="92"/>
      <c r="F2943" s="12"/>
      <c r="G2943" s="157"/>
      <c r="H2943" s="12"/>
      <c r="I2943" s="62"/>
      <c r="J2943" s="27"/>
      <c r="K2943" s="62"/>
      <c r="L2943" s="12"/>
      <c r="M2943" s="191"/>
      <c r="N2943" s="130"/>
    </row>
    <row r="2944" spans="1:14" x14ac:dyDescent="0.25">
      <c r="A2944" s="63" t="s">
        <v>570</v>
      </c>
      <c r="B2944" s="71" t="s">
        <v>3887</v>
      </c>
      <c r="C2944" s="2">
        <v>4099854247972</v>
      </c>
      <c r="D2944" s="95">
        <v>4058075574434</v>
      </c>
      <c r="E2944" s="96"/>
      <c r="G2944" s="156" t="str">
        <f>HYPERLINK("https://ledvance.com/pt/product-datasheet/6985/288884","Ficha Técnica")</f>
        <v>Ficha Técnica</v>
      </c>
      <c r="H2944" s="15">
        <v>6</v>
      </c>
      <c r="I2944" s="163">
        <v>200</v>
      </c>
      <c r="J2944" s="15" t="s">
        <v>1898</v>
      </c>
      <c r="K2944" s="163" t="s">
        <v>46</v>
      </c>
      <c r="L2944" s="15">
        <v>3</v>
      </c>
      <c r="M2944" s="193">
        <v>7.2</v>
      </c>
      <c r="N2944" s="173" t="s">
        <v>571</v>
      </c>
    </row>
    <row r="2945" spans="1:14" x14ac:dyDescent="0.25">
      <c r="A2945" s="63" t="s">
        <v>570</v>
      </c>
      <c r="B2945" s="71" t="s">
        <v>3888</v>
      </c>
      <c r="C2945" s="2">
        <v>4099854248009</v>
      </c>
      <c r="D2945" s="95">
        <v>4058075574465</v>
      </c>
      <c r="E2945" s="96"/>
      <c r="G2945" s="156" t="str">
        <f>HYPERLINK("https://ledvance.com/pt/product-datasheet/6985/288888","Ficha Técnica")</f>
        <v>Ficha Técnica</v>
      </c>
      <c r="H2945" s="15">
        <v>6</v>
      </c>
      <c r="I2945" s="163">
        <v>320</v>
      </c>
      <c r="J2945" s="15" t="s">
        <v>1910</v>
      </c>
      <c r="K2945" s="163" t="s">
        <v>46</v>
      </c>
      <c r="L2945" s="15">
        <v>3</v>
      </c>
      <c r="M2945" s="193">
        <v>9</v>
      </c>
      <c r="N2945" s="173" t="s">
        <v>571</v>
      </c>
    </row>
    <row r="2946" spans="1:14" x14ac:dyDescent="0.25">
      <c r="A2946" s="66" t="s">
        <v>570</v>
      </c>
      <c r="B2946" s="73" t="s">
        <v>909</v>
      </c>
      <c r="C2946" s="52"/>
      <c r="D2946" s="65"/>
      <c r="E2946" s="92"/>
      <c r="F2946" s="12"/>
      <c r="G2946" s="157"/>
      <c r="H2946" s="12"/>
      <c r="I2946" s="62"/>
      <c r="J2946" s="27"/>
      <c r="K2946" s="62"/>
      <c r="L2946" s="12"/>
      <c r="M2946" s="191"/>
      <c r="N2946" s="130"/>
    </row>
    <row r="2947" spans="1:14" x14ac:dyDescent="0.25">
      <c r="A2947" s="63" t="s">
        <v>570</v>
      </c>
      <c r="B2947" s="71" t="s">
        <v>910</v>
      </c>
      <c r="C2947" s="2">
        <v>4099854064906</v>
      </c>
      <c r="D2947" s="93"/>
      <c r="E2947" s="61"/>
      <c r="F2947" s="25"/>
      <c r="G2947" s="156" t="str">
        <f>HYPERLINK("https://ledvance.com/pt/product-datasheet/251356/237850","Ficha Técnica")</f>
        <v>Ficha Técnica</v>
      </c>
      <c r="H2947" s="15">
        <v>20</v>
      </c>
      <c r="I2947" s="163">
        <v>1055</v>
      </c>
      <c r="J2947" s="15" t="s">
        <v>1880</v>
      </c>
      <c r="K2947" s="163" t="s">
        <v>46</v>
      </c>
      <c r="L2947" s="15">
        <v>5</v>
      </c>
      <c r="M2947" s="193">
        <v>16.2</v>
      </c>
      <c r="N2947" s="173" t="s">
        <v>571</v>
      </c>
    </row>
    <row r="2948" spans="1:14" x14ac:dyDescent="0.25">
      <c r="A2948" s="63" t="s">
        <v>570</v>
      </c>
      <c r="B2948" s="71" t="s">
        <v>911</v>
      </c>
      <c r="C2948" s="2">
        <v>4099854064876</v>
      </c>
      <c r="D2948" s="93"/>
      <c r="E2948" s="61"/>
      <c r="F2948" s="25"/>
      <c r="G2948" s="156" t="str">
        <f>HYPERLINK("https://ledvance.com/pt/product-datasheet/251356/237846","Ficha Técnica")</f>
        <v>Ficha Técnica</v>
      </c>
      <c r="H2948" s="15">
        <v>20</v>
      </c>
      <c r="I2948" s="163">
        <v>1521</v>
      </c>
      <c r="J2948" s="15">
        <v>12</v>
      </c>
      <c r="K2948" s="163" t="s">
        <v>46</v>
      </c>
      <c r="L2948" s="15">
        <v>5</v>
      </c>
      <c r="M2948" s="193">
        <v>29.3</v>
      </c>
      <c r="N2948" s="173" t="s">
        <v>571</v>
      </c>
    </row>
    <row r="2949" spans="1:14" x14ac:dyDescent="0.25">
      <c r="A2949" s="63" t="s">
        <v>570</v>
      </c>
      <c r="B2949" s="71" t="s">
        <v>912</v>
      </c>
      <c r="C2949" s="2">
        <v>4099854048753</v>
      </c>
      <c r="D2949" s="93"/>
      <c r="E2949" s="61"/>
      <c r="F2949" s="25"/>
      <c r="G2949" s="156" t="str">
        <f>HYPERLINK("https://ledvance.com/pt/product-datasheet/251356/236001","Ficha Técnica")</f>
        <v>Ficha Técnica</v>
      </c>
      <c r="H2949" s="15">
        <v>20</v>
      </c>
      <c r="I2949" s="163">
        <v>2000</v>
      </c>
      <c r="J2949" s="15">
        <v>15</v>
      </c>
      <c r="K2949" s="163" t="s">
        <v>46</v>
      </c>
      <c r="L2949" s="15">
        <v>5</v>
      </c>
      <c r="M2949" s="193">
        <v>34.6</v>
      </c>
      <c r="N2949" s="173" t="s">
        <v>571</v>
      </c>
    </row>
    <row r="2950" spans="1:14" x14ac:dyDescent="0.25">
      <c r="A2950" s="63" t="s">
        <v>570</v>
      </c>
      <c r="B2950" s="71" t="s">
        <v>913</v>
      </c>
      <c r="C2950" s="2">
        <v>4099854048678</v>
      </c>
      <c r="D2950" s="93"/>
      <c r="E2950" s="61"/>
      <c r="F2950" s="25"/>
      <c r="G2950" s="156" t="str">
        <f>HYPERLINK("https://ledvance.com/pt/product-datasheet/251356/235987","Ficha Técnica")</f>
        <v>Ficha Técnica</v>
      </c>
      <c r="H2950" s="15">
        <v>20</v>
      </c>
      <c r="I2950" s="163">
        <v>2452</v>
      </c>
      <c r="J2950" s="15" t="s">
        <v>1929</v>
      </c>
      <c r="K2950" s="163" t="s">
        <v>46</v>
      </c>
      <c r="L2950" s="15">
        <v>5</v>
      </c>
      <c r="M2950" s="193">
        <v>47.8</v>
      </c>
      <c r="N2950" s="173" t="s">
        <v>571</v>
      </c>
    </row>
    <row r="2951" spans="1:14" x14ac:dyDescent="0.25">
      <c r="A2951" s="66" t="s">
        <v>570</v>
      </c>
      <c r="B2951" s="73" t="s">
        <v>914</v>
      </c>
      <c r="C2951" s="52"/>
      <c r="D2951" s="65"/>
      <c r="E2951" s="92"/>
      <c r="F2951" s="12"/>
      <c r="G2951" s="157"/>
      <c r="H2951" s="12"/>
      <c r="I2951" s="62"/>
      <c r="J2951" s="27"/>
      <c r="K2951" s="62"/>
      <c r="L2951" s="12"/>
      <c r="M2951" s="191"/>
      <c r="N2951" s="130"/>
    </row>
    <row r="2952" spans="1:14" x14ac:dyDescent="0.25">
      <c r="A2952" s="63" t="s">
        <v>570</v>
      </c>
      <c r="B2952" s="71" t="s">
        <v>915</v>
      </c>
      <c r="C2952" s="2">
        <v>4099854049682</v>
      </c>
      <c r="D2952" s="93"/>
      <c r="E2952" s="61"/>
      <c r="F2952" s="25"/>
      <c r="G2952" s="156" t="str">
        <f>HYPERLINK("https://ledvance.com/pt/product-datasheet/251354/235988","Ficha Técnica")</f>
        <v>Ficha Técnica</v>
      </c>
      <c r="H2952" s="15">
        <v>20</v>
      </c>
      <c r="I2952" s="163">
        <v>806</v>
      </c>
      <c r="J2952" s="15" t="s">
        <v>1876</v>
      </c>
      <c r="K2952" s="163" t="s">
        <v>46</v>
      </c>
      <c r="L2952" s="15">
        <v>4</v>
      </c>
      <c r="M2952" s="193">
        <v>11.3</v>
      </c>
      <c r="N2952" s="173" t="s">
        <v>571</v>
      </c>
    </row>
    <row r="2953" spans="1:14" x14ac:dyDescent="0.25">
      <c r="A2953" s="63" t="s">
        <v>570</v>
      </c>
      <c r="B2953" s="71" t="s">
        <v>916</v>
      </c>
      <c r="C2953" s="2">
        <v>4099854049736</v>
      </c>
      <c r="D2953" s="93"/>
      <c r="E2953" s="61"/>
      <c r="F2953" s="25"/>
      <c r="G2953" s="156" t="str">
        <f>HYPERLINK("https://ledvance.com/pt/product-datasheet/251354/236008","Ficha Técnica")</f>
        <v>Ficha Técnica</v>
      </c>
      <c r="H2953" s="15">
        <v>20</v>
      </c>
      <c r="I2953" s="163">
        <v>1055</v>
      </c>
      <c r="J2953" s="15">
        <v>8</v>
      </c>
      <c r="K2953" s="163" t="s">
        <v>46</v>
      </c>
      <c r="L2953" s="15">
        <v>4</v>
      </c>
      <c r="M2953" s="193">
        <v>16</v>
      </c>
      <c r="N2953" s="173" t="s">
        <v>571</v>
      </c>
    </row>
    <row r="2954" spans="1:14" x14ac:dyDescent="0.25">
      <c r="A2954" s="63" t="s">
        <v>570</v>
      </c>
      <c r="B2954" s="71" t="s">
        <v>917</v>
      </c>
      <c r="C2954" s="2">
        <v>4099854049767</v>
      </c>
      <c r="D2954" s="93"/>
      <c r="E2954" s="61"/>
      <c r="F2954" s="25"/>
      <c r="G2954" s="156" t="str">
        <f>HYPERLINK("https://ledvance.com/pt/product-datasheet/251354/236024","Ficha Técnica")</f>
        <v>Ficha Técnica</v>
      </c>
      <c r="H2954" s="15">
        <v>20</v>
      </c>
      <c r="I2954" s="163">
        <v>1521</v>
      </c>
      <c r="J2954" s="15" t="s">
        <v>1930</v>
      </c>
      <c r="K2954" s="163" t="s">
        <v>46</v>
      </c>
      <c r="L2954" s="15">
        <v>4</v>
      </c>
      <c r="M2954" s="193">
        <v>29.3</v>
      </c>
      <c r="N2954" s="173" t="s">
        <v>571</v>
      </c>
    </row>
    <row r="2955" spans="1:14" x14ac:dyDescent="0.25">
      <c r="A2955" s="63" t="s">
        <v>570</v>
      </c>
      <c r="B2955" s="71" t="s">
        <v>918</v>
      </c>
      <c r="C2955" s="2">
        <v>4099854064937</v>
      </c>
      <c r="D2955" s="93"/>
      <c r="E2955" s="61"/>
      <c r="F2955" s="25"/>
      <c r="G2955" s="156" t="str">
        <f>HYPERLINK("https://ledvance.com/pt/product-datasheet/251354/237854","Ficha Técnica")</f>
        <v>Ficha Técnica</v>
      </c>
      <c r="H2955" s="15">
        <v>20</v>
      </c>
      <c r="I2955" s="163">
        <v>1521</v>
      </c>
      <c r="J2955" s="15">
        <v>13</v>
      </c>
      <c r="K2955" s="163" t="s">
        <v>46</v>
      </c>
      <c r="L2955" s="15">
        <v>4</v>
      </c>
      <c r="M2955" s="193">
        <v>18.8</v>
      </c>
      <c r="N2955" s="173" t="s">
        <v>571</v>
      </c>
    </row>
    <row r="2956" spans="1:14" x14ac:dyDescent="0.25">
      <c r="A2956" s="63" t="s">
        <v>570</v>
      </c>
      <c r="B2956" s="71" t="s">
        <v>919</v>
      </c>
      <c r="C2956" s="2">
        <v>4099854048647</v>
      </c>
      <c r="D2956" s="93"/>
      <c r="E2956" s="61"/>
      <c r="F2956" s="25"/>
      <c r="G2956" s="156" t="str">
        <f>HYPERLINK("https://ledvance.com/pt/product-datasheet/251354/236055","Ficha Técnica")</f>
        <v>Ficha Técnica</v>
      </c>
      <c r="H2956" s="15">
        <v>20</v>
      </c>
      <c r="I2956" s="163">
        <v>2000</v>
      </c>
      <c r="J2956" s="15">
        <v>15</v>
      </c>
      <c r="K2956" s="163" t="s">
        <v>46</v>
      </c>
      <c r="L2956" s="15">
        <v>4</v>
      </c>
      <c r="M2956" s="193">
        <v>24.1</v>
      </c>
      <c r="N2956" s="173" t="s">
        <v>571</v>
      </c>
    </row>
    <row r="2957" spans="1:14" x14ac:dyDescent="0.25">
      <c r="A2957" s="63" t="s">
        <v>570</v>
      </c>
      <c r="B2957" s="71" t="s">
        <v>920</v>
      </c>
      <c r="C2957" s="2">
        <v>4099854048722</v>
      </c>
      <c r="D2957" s="93"/>
      <c r="E2957" s="61"/>
      <c r="F2957" s="25"/>
      <c r="G2957" s="156" t="str">
        <f>HYPERLINK("https://ledvance.com/pt/product-datasheet/251354/236071","Ficha Técnica")</f>
        <v>Ficha Técnica</v>
      </c>
      <c r="H2957" s="15">
        <v>20</v>
      </c>
      <c r="I2957" s="163">
        <v>2452</v>
      </c>
      <c r="J2957" s="15" t="s">
        <v>1929</v>
      </c>
      <c r="K2957" s="163" t="s">
        <v>46</v>
      </c>
      <c r="L2957" s="15">
        <v>4</v>
      </c>
      <c r="M2957" s="193">
        <v>45.2</v>
      </c>
      <c r="N2957" s="173" t="s">
        <v>571</v>
      </c>
    </row>
    <row r="2958" spans="1:14" x14ac:dyDescent="0.25">
      <c r="A2958" s="63" t="s">
        <v>570</v>
      </c>
      <c r="B2958" s="71" t="s">
        <v>1440</v>
      </c>
      <c r="C2958" s="2">
        <v>4099854249082</v>
      </c>
      <c r="D2958" s="93"/>
      <c r="E2958" s="61"/>
      <c r="F2958" s="25"/>
      <c r="G2958" s="156" t="str">
        <f>HYPERLINK("https://ledvance.com/pt/product-datasheet/251354/288918","Ficha Técnica")</f>
        <v>Ficha Técnica</v>
      </c>
      <c r="H2958" s="15">
        <v>20</v>
      </c>
      <c r="I2958" s="163">
        <v>3000</v>
      </c>
      <c r="J2958" s="15">
        <v>20</v>
      </c>
      <c r="K2958" s="163" t="s">
        <v>46</v>
      </c>
      <c r="L2958" s="15">
        <v>4</v>
      </c>
      <c r="M2958" s="193">
        <v>67.2</v>
      </c>
      <c r="N2958" s="173" t="s">
        <v>571</v>
      </c>
    </row>
    <row r="2959" spans="1:14" x14ac:dyDescent="0.25">
      <c r="A2959" s="66" t="s">
        <v>570</v>
      </c>
      <c r="B2959" s="73" t="s">
        <v>921</v>
      </c>
      <c r="C2959" s="52"/>
      <c r="D2959" s="65"/>
      <c r="E2959" s="92"/>
      <c r="F2959" s="12"/>
      <c r="G2959" s="157"/>
      <c r="H2959" s="12"/>
      <c r="I2959" s="62"/>
      <c r="J2959" s="27"/>
      <c r="K2959" s="62"/>
      <c r="L2959" s="12"/>
      <c r="M2959" s="191"/>
      <c r="N2959" s="130"/>
    </row>
    <row r="2960" spans="1:14" x14ac:dyDescent="0.25">
      <c r="A2960" s="63" t="s">
        <v>570</v>
      </c>
      <c r="B2960" s="71" t="s">
        <v>3889</v>
      </c>
      <c r="C2960" s="2">
        <v>4099854267628</v>
      </c>
      <c r="D2960" s="93"/>
      <c r="E2960" s="61"/>
      <c r="F2960" s="25"/>
      <c r="G2960" s="156" t="str">
        <f>HYPERLINK("https://ledvance.com/pt/product-datasheet/296350/293273","Ficha Técnica")</f>
        <v>Ficha Técnica</v>
      </c>
      <c r="H2960" s="15">
        <v>10</v>
      </c>
      <c r="I2960" s="163">
        <v>806</v>
      </c>
      <c r="J2960" s="15">
        <v>7</v>
      </c>
      <c r="K2960" s="163" t="s">
        <v>46</v>
      </c>
      <c r="L2960" s="15">
        <v>4</v>
      </c>
      <c r="M2960" s="193">
        <v>15.5</v>
      </c>
      <c r="N2960" s="173" t="s">
        <v>571</v>
      </c>
    </row>
    <row r="2961" spans="1:14" x14ac:dyDescent="0.25">
      <c r="A2961" s="63" t="s">
        <v>570</v>
      </c>
      <c r="B2961" s="71" t="s">
        <v>3890</v>
      </c>
      <c r="C2961" s="2">
        <v>4099854267680</v>
      </c>
      <c r="D2961" s="93"/>
      <c r="E2961" s="61"/>
      <c r="F2961" s="25"/>
      <c r="G2961" s="156" t="str">
        <f>HYPERLINK("https://ledvance.com/pt/product-datasheet/296350/293128","Ficha Técnica")</f>
        <v>Ficha Técnica</v>
      </c>
      <c r="H2961" s="15">
        <v>10</v>
      </c>
      <c r="I2961" s="163">
        <v>1521</v>
      </c>
      <c r="J2961" s="15">
        <v>12</v>
      </c>
      <c r="K2961" s="163" t="s">
        <v>46</v>
      </c>
      <c r="L2961" s="15">
        <v>4</v>
      </c>
      <c r="M2961" s="193">
        <v>26.9</v>
      </c>
      <c r="N2961" s="173" t="s">
        <v>571</v>
      </c>
    </row>
    <row r="2962" spans="1:14" x14ac:dyDescent="0.25">
      <c r="A2962" s="66" t="s">
        <v>570</v>
      </c>
      <c r="B2962" s="73" t="s">
        <v>1451</v>
      </c>
      <c r="C2962" s="52"/>
      <c r="D2962" s="65"/>
      <c r="E2962" s="92"/>
      <c r="F2962" s="12"/>
      <c r="G2962" s="157"/>
      <c r="H2962" s="12"/>
      <c r="I2962" s="62"/>
      <c r="J2962" s="27"/>
      <c r="K2962" s="62"/>
      <c r="L2962" s="12"/>
      <c r="M2962" s="191"/>
      <c r="N2962" s="130"/>
    </row>
    <row r="2963" spans="1:14" x14ac:dyDescent="0.25">
      <c r="A2963" s="63" t="s">
        <v>570</v>
      </c>
      <c r="B2963" s="71" t="s">
        <v>1452</v>
      </c>
      <c r="C2963" s="2">
        <v>4058075840447</v>
      </c>
      <c r="D2963" s="93"/>
      <c r="E2963" s="61"/>
      <c r="G2963" s="156" t="str">
        <f>HYPERLINK("https://ledvance.com/pt/product-datasheet/6990/312842","Ficha Técnica")</f>
        <v>Ficha Técnica</v>
      </c>
      <c r="H2963" s="15">
        <v>6</v>
      </c>
      <c r="I2963" s="163">
        <v>470</v>
      </c>
      <c r="J2963" s="15" t="s">
        <v>1903</v>
      </c>
      <c r="K2963" s="163" t="s">
        <v>46</v>
      </c>
      <c r="L2963" s="15">
        <v>3</v>
      </c>
      <c r="M2963" s="193">
        <v>12.4</v>
      </c>
      <c r="N2963" s="173" t="s">
        <v>571</v>
      </c>
    </row>
    <row r="2964" spans="1:14" x14ac:dyDescent="0.25">
      <c r="A2964" s="63" t="s">
        <v>570</v>
      </c>
      <c r="B2964" s="71" t="s">
        <v>1453</v>
      </c>
      <c r="C2964" s="2">
        <v>4058075840461</v>
      </c>
      <c r="D2964" s="93"/>
      <c r="E2964" s="61"/>
      <c r="G2964" s="156" t="str">
        <f>HYPERLINK("https://ledvance.com/pt/product-datasheet/6990/312846","Ficha Técnica")</f>
        <v>Ficha Técnica</v>
      </c>
      <c r="H2964" s="15">
        <v>6</v>
      </c>
      <c r="I2964" s="163">
        <v>470</v>
      </c>
      <c r="J2964" s="15" t="s">
        <v>1903</v>
      </c>
      <c r="K2964" s="163" t="s">
        <v>46</v>
      </c>
      <c r="L2964" s="15">
        <v>3</v>
      </c>
      <c r="M2964" s="193">
        <v>12.4</v>
      </c>
      <c r="N2964" s="173" t="s">
        <v>571</v>
      </c>
    </row>
    <row r="2965" spans="1:14" x14ac:dyDescent="0.25">
      <c r="A2965" s="63" t="s">
        <v>570</v>
      </c>
      <c r="B2965" s="71" t="s">
        <v>1454</v>
      </c>
      <c r="C2965" s="2">
        <v>4058075840485</v>
      </c>
      <c r="D2965" s="93"/>
      <c r="E2965" s="61"/>
      <c r="G2965" s="156" t="str">
        <f>HYPERLINK("https://ledvance.com/pt/product-datasheet/6990/312850","Ficha Técnica")</f>
        <v>Ficha Técnica</v>
      </c>
      <c r="H2965" s="15">
        <v>6</v>
      </c>
      <c r="I2965" s="163">
        <v>806</v>
      </c>
      <c r="J2965" s="15">
        <v>8</v>
      </c>
      <c r="K2965" s="163" t="s">
        <v>46</v>
      </c>
      <c r="L2965" s="15">
        <v>3</v>
      </c>
      <c r="M2965" s="193">
        <v>15.5</v>
      </c>
      <c r="N2965" s="173" t="s">
        <v>571</v>
      </c>
    </row>
    <row r="2966" spans="1:14" x14ac:dyDescent="0.25">
      <c r="A2966" s="63" t="s">
        <v>570</v>
      </c>
      <c r="B2966" s="71" t="s">
        <v>1455</v>
      </c>
      <c r="C2966" s="2">
        <v>4058075840508</v>
      </c>
      <c r="D2966" s="93"/>
      <c r="E2966" s="61"/>
      <c r="G2966" s="156" t="str">
        <f>HYPERLINK("https://ledvance.com/pt/product-datasheet/6990/312854","Ficha Técnica")</f>
        <v>Ficha Técnica</v>
      </c>
      <c r="H2966" s="15">
        <v>6</v>
      </c>
      <c r="I2966" s="163">
        <v>806</v>
      </c>
      <c r="J2966" s="15">
        <v>8</v>
      </c>
      <c r="K2966" s="163" t="s">
        <v>46</v>
      </c>
      <c r="L2966" s="15">
        <v>3</v>
      </c>
      <c r="M2966" s="193">
        <v>15.5</v>
      </c>
      <c r="N2966" s="173" t="s">
        <v>571</v>
      </c>
    </row>
    <row r="2967" spans="1:14" x14ac:dyDescent="0.25">
      <c r="A2967" s="66" t="s">
        <v>570</v>
      </c>
      <c r="B2967" s="73" t="s">
        <v>922</v>
      </c>
      <c r="C2967" s="52"/>
      <c r="D2967" s="64"/>
      <c r="E2967" s="92"/>
      <c r="F2967" s="12"/>
      <c r="G2967" s="157"/>
      <c r="H2967" s="12"/>
      <c r="I2967" s="62"/>
      <c r="J2967" s="27"/>
      <c r="K2967" s="62"/>
      <c r="L2967" s="12"/>
      <c r="M2967" s="191"/>
      <c r="N2967" s="130"/>
    </row>
    <row r="2968" spans="1:14" x14ac:dyDescent="0.25">
      <c r="A2968" s="63" t="s">
        <v>570</v>
      </c>
      <c r="B2968" s="71" t="s">
        <v>923</v>
      </c>
      <c r="C2968" s="2">
        <v>4099854059674</v>
      </c>
      <c r="D2968" s="93"/>
      <c r="E2968" s="61"/>
      <c r="F2968" s="25"/>
      <c r="G2968" s="156" t="str">
        <f>HYPERLINK("https://ledvance.com/pt/product-datasheet/6975/237016","Ficha Técnica")</f>
        <v>Ficha Técnica</v>
      </c>
      <c r="H2968" s="15">
        <v>10</v>
      </c>
      <c r="I2968" s="163">
        <v>830</v>
      </c>
      <c r="J2968" s="15">
        <v>9</v>
      </c>
      <c r="K2968" s="163" t="s">
        <v>46</v>
      </c>
      <c r="L2968" s="15">
        <v>3</v>
      </c>
      <c r="M2968" s="193">
        <v>13.6</v>
      </c>
      <c r="N2968" s="173" t="s">
        <v>571</v>
      </c>
    </row>
    <row r="2969" spans="1:14" x14ac:dyDescent="0.25">
      <c r="A2969" s="66" t="s">
        <v>570</v>
      </c>
      <c r="B2969" s="73" t="s">
        <v>924</v>
      </c>
      <c r="C2969" s="52"/>
      <c r="D2969" s="64"/>
      <c r="E2969" s="92"/>
      <c r="F2969" s="12"/>
      <c r="G2969" s="157"/>
      <c r="H2969" s="12"/>
      <c r="I2969" s="62"/>
      <c r="J2969" s="27"/>
      <c r="K2969" s="62"/>
      <c r="L2969" s="12"/>
      <c r="M2969" s="191"/>
      <c r="N2969" s="130"/>
    </row>
    <row r="2970" spans="1:14" x14ac:dyDescent="0.25">
      <c r="A2970" s="63" t="s">
        <v>570</v>
      </c>
      <c r="B2970" s="71" t="s">
        <v>925</v>
      </c>
      <c r="C2970" s="2">
        <v>4058075699434</v>
      </c>
      <c r="D2970" s="93"/>
      <c r="E2970" s="61"/>
      <c r="F2970" s="25"/>
      <c r="G2970" s="156" t="str">
        <f>HYPERLINK("https://ledvance.com/pt/product-datasheet/6975/195469","Ficha Técnica")</f>
        <v>Ficha Técnica</v>
      </c>
      <c r="H2970" s="15">
        <v>10</v>
      </c>
      <c r="I2970" s="163">
        <v>350</v>
      </c>
      <c r="J2970" s="15">
        <v>4</v>
      </c>
      <c r="K2970" s="163" t="s">
        <v>46</v>
      </c>
      <c r="L2970" s="15">
        <v>3</v>
      </c>
      <c r="M2970" s="193">
        <v>18.899999999999999</v>
      </c>
      <c r="N2970" s="173" t="s">
        <v>571</v>
      </c>
    </row>
    <row r="2971" spans="1:14" x14ac:dyDescent="0.25">
      <c r="A2971" s="63" t="s">
        <v>570</v>
      </c>
      <c r="B2971" s="71" t="s">
        <v>926</v>
      </c>
      <c r="C2971" s="2">
        <v>4058075699458</v>
      </c>
      <c r="D2971" s="93"/>
      <c r="E2971" s="61"/>
      <c r="F2971" s="25"/>
      <c r="G2971" s="156" t="str">
        <f>HYPERLINK("https://ledvance.com/pt/product-datasheet/6975/195472","Ficha Técnica")</f>
        <v>Ficha Técnica</v>
      </c>
      <c r="H2971" s="15">
        <v>10</v>
      </c>
      <c r="I2971" s="163">
        <v>750</v>
      </c>
      <c r="J2971" s="15">
        <v>7</v>
      </c>
      <c r="K2971" s="163" t="s">
        <v>46</v>
      </c>
      <c r="L2971" s="15">
        <v>3</v>
      </c>
      <c r="M2971" s="193">
        <v>20.100000000000001</v>
      </c>
      <c r="N2971" s="173" t="s">
        <v>571</v>
      </c>
    </row>
    <row r="2972" spans="1:14" x14ac:dyDescent="0.25">
      <c r="A2972" s="66" t="s">
        <v>570</v>
      </c>
      <c r="B2972" s="73" t="s">
        <v>927</v>
      </c>
      <c r="C2972" s="52"/>
      <c r="D2972" s="65"/>
      <c r="E2972" s="92"/>
      <c r="F2972" s="12"/>
      <c r="G2972" s="157"/>
      <c r="H2972" s="12"/>
      <c r="I2972" s="62"/>
      <c r="J2972" s="27"/>
      <c r="K2972" s="62"/>
      <c r="L2972" s="12"/>
      <c r="M2972" s="191"/>
      <c r="N2972" s="130"/>
    </row>
    <row r="2973" spans="1:14" x14ac:dyDescent="0.25">
      <c r="A2973" s="63" t="s">
        <v>570</v>
      </c>
      <c r="B2973" s="71" t="s">
        <v>3891</v>
      </c>
      <c r="C2973" s="2">
        <v>4099854232817</v>
      </c>
      <c r="D2973" s="95">
        <v>4058075607019</v>
      </c>
      <c r="E2973" s="96" t="s">
        <v>929</v>
      </c>
      <c r="G2973" s="156" t="str">
        <f>HYPERLINK("https://ledvance.com/pt/product-datasheet/303975/284401","Ficha Técnica")</f>
        <v>Ficha Técnica</v>
      </c>
      <c r="H2973" s="15">
        <v>10</v>
      </c>
      <c r="I2973" s="163">
        <v>275</v>
      </c>
      <c r="J2973" s="15">
        <v>3</v>
      </c>
      <c r="K2973" s="163" t="s">
        <v>46</v>
      </c>
      <c r="L2973" s="15">
        <v>4</v>
      </c>
      <c r="M2973" s="193">
        <v>23.1</v>
      </c>
      <c r="N2973" s="173" t="s">
        <v>571</v>
      </c>
    </row>
    <row r="2974" spans="1:14" x14ac:dyDescent="0.25">
      <c r="A2974" s="63" t="s">
        <v>570</v>
      </c>
      <c r="B2974" s="71" t="s">
        <v>3892</v>
      </c>
      <c r="C2974" s="2">
        <v>4099854232831</v>
      </c>
      <c r="D2974" s="95">
        <v>4058075607033</v>
      </c>
      <c r="E2974" s="96" t="s">
        <v>928</v>
      </c>
      <c r="G2974" s="156" t="str">
        <f>HYPERLINK("https://ledvance.com/pt/product-datasheet/303975/284404","Ficha Técnica")</f>
        <v>Ficha Técnica</v>
      </c>
      <c r="H2974" s="15">
        <v>10</v>
      </c>
      <c r="I2974" s="163">
        <v>275</v>
      </c>
      <c r="J2974" s="15">
        <v>3</v>
      </c>
      <c r="K2974" s="163" t="s">
        <v>46</v>
      </c>
      <c r="L2974" s="15">
        <v>4</v>
      </c>
      <c r="M2974" s="193">
        <v>23.1</v>
      </c>
      <c r="N2974" s="173" t="s">
        <v>571</v>
      </c>
    </row>
    <row r="2975" spans="1:14" x14ac:dyDescent="0.25">
      <c r="A2975" s="63" t="s">
        <v>570</v>
      </c>
      <c r="B2975" s="71" t="s">
        <v>3893</v>
      </c>
      <c r="C2975" s="2">
        <v>4099854232855</v>
      </c>
      <c r="D2975" s="95">
        <v>4058075607057</v>
      </c>
      <c r="E2975" s="96" t="s">
        <v>931</v>
      </c>
      <c r="G2975" s="156" t="str">
        <f>HYPERLINK("https://ledvance.com/pt/product-datasheet/303975/284407","Ficha Técnica")</f>
        <v>Ficha Técnica</v>
      </c>
      <c r="H2975" s="15">
        <v>10</v>
      </c>
      <c r="I2975" s="163">
        <v>470</v>
      </c>
      <c r="J2975" s="15" t="s">
        <v>1909</v>
      </c>
      <c r="K2975" s="163" t="s">
        <v>46</v>
      </c>
      <c r="L2975" s="15">
        <v>4</v>
      </c>
      <c r="M2975" s="193">
        <v>26.4</v>
      </c>
      <c r="N2975" s="173" t="s">
        <v>571</v>
      </c>
    </row>
    <row r="2976" spans="1:14" x14ac:dyDescent="0.25">
      <c r="A2976" s="63" t="s">
        <v>570</v>
      </c>
      <c r="B2976" s="71" t="s">
        <v>3894</v>
      </c>
      <c r="C2976" s="2">
        <v>4099854232879</v>
      </c>
      <c r="D2976" s="95">
        <v>4058075607071</v>
      </c>
      <c r="E2976" s="96" t="s">
        <v>930</v>
      </c>
      <c r="G2976" s="156" t="str">
        <f>HYPERLINK("https://ledvance.com/pt/product-datasheet/303975/284410","Ficha Técnica")</f>
        <v>Ficha Técnica</v>
      </c>
      <c r="H2976" s="15">
        <v>10</v>
      </c>
      <c r="I2976" s="163">
        <v>470</v>
      </c>
      <c r="J2976" s="15" t="s">
        <v>1909</v>
      </c>
      <c r="K2976" s="163" t="s">
        <v>46</v>
      </c>
      <c r="L2976" s="15">
        <v>4</v>
      </c>
      <c r="M2976" s="193">
        <v>26.4</v>
      </c>
      <c r="N2976" s="173" t="s">
        <v>571</v>
      </c>
    </row>
    <row r="2977" spans="1:14" x14ac:dyDescent="0.25">
      <c r="A2977" s="63" t="s">
        <v>570</v>
      </c>
      <c r="B2977" s="71" t="s">
        <v>3895</v>
      </c>
      <c r="C2977" s="2">
        <v>4099854232893</v>
      </c>
      <c r="D2977" s="95">
        <v>4058075607095</v>
      </c>
      <c r="E2977" s="96" t="s">
        <v>932</v>
      </c>
      <c r="G2977" s="156" t="str">
        <f>HYPERLINK("https://ledvance.com/pt/product-datasheet/303975/284413","Ficha Técnica")</f>
        <v>Ficha Técnica</v>
      </c>
      <c r="H2977" s="15">
        <v>6</v>
      </c>
      <c r="I2977" s="163">
        <v>1055</v>
      </c>
      <c r="J2977" s="15" t="s">
        <v>1931</v>
      </c>
      <c r="K2977" s="163" t="s">
        <v>46</v>
      </c>
      <c r="L2977" s="15">
        <v>4</v>
      </c>
      <c r="M2977" s="193">
        <v>49.6</v>
      </c>
      <c r="N2977" s="173" t="s">
        <v>571</v>
      </c>
    </row>
    <row r="2978" spans="1:14" x14ac:dyDescent="0.25">
      <c r="A2978" s="66" t="s">
        <v>570</v>
      </c>
      <c r="B2978" s="73" t="s">
        <v>933</v>
      </c>
      <c r="C2978" s="52"/>
      <c r="D2978" s="65"/>
      <c r="E2978" s="92"/>
      <c r="F2978" s="12"/>
      <c r="G2978" s="157"/>
      <c r="H2978" s="12"/>
      <c r="I2978" s="62"/>
      <c r="J2978" s="27"/>
      <c r="K2978" s="62"/>
      <c r="L2978" s="12"/>
      <c r="M2978" s="191"/>
      <c r="N2978" s="130"/>
    </row>
    <row r="2979" spans="1:14" x14ac:dyDescent="0.25">
      <c r="A2979" s="63" t="s">
        <v>570</v>
      </c>
      <c r="B2979" s="71" t="s">
        <v>934</v>
      </c>
      <c r="C2979" s="2">
        <v>4058075762398</v>
      </c>
      <c r="D2979" s="118"/>
      <c r="E2979" s="119"/>
      <c r="F2979" s="25"/>
      <c r="G2979" s="156" t="str">
        <f>HYPERLINK("https://ledvance.com/pt/product-datasheet/232856/216405","Ficha Técnica")</f>
        <v>Ficha Técnica</v>
      </c>
      <c r="H2979" s="15">
        <v>10</v>
      </c>
      <c r="I2979" s="163">
        <v>370</v>
      </c>
      <c r="J2979" s="15" t="s">
        <v>1881</v>
      </c>
      <c r="K2979" s="163" t="s">
        <v>46</v>
      </c>
      <c r="L2979" s="15">
        <v>3</v>
      </c>
      <c r="M2979" s="193">
        <v>16.100000000000001</v>
      </c>
      <c r="N2979" s="173" t="s">
        <v>571</v>
      </c>
    </row>
    <row r="2980" spans="1:14" x14ac:dyDescent="0.25">
      <c r="A2980" s="63" t="s">
        <v>570</v>
      </c>
      <c r="B2980" s="71" t="s">
        <v>935</v>
      </c>
      <c r="C2980" s="2">
        <v>4058075762374</v>
      </c>
      <c r="D2980" s="118"/>
      <c r="E2980" s="119"/>
      <c r="F2980" s="25"/>
      <c r="G2980" s="156" t="str">
        <f>HYPERLINK("https://ledvance.com/pt/product-datasheet/232856/216408","Ficha Técnica")</f>
        <v>Ficha Técnica</v>
      </c>
      <c r="H2980" s="15">
        <v>10</v>
      </c>
      <c r="I2980" s="163">
        <v>370</v>
      </c>
      <c r="J2980" s="15" t="s">
        <v>1881</v>
      </c>
      <c r="K2980" s="163" t="s">
        <v>46</v>
      </c>
      <c r="L2980" s="15">
        <v>3</v>
      </c>
      <c r="M2980" s="193">
        <v>17.600000000000001</v>
      </c>
      <c r="N2980" s="173" t="s">
        <v>571</v>
      </c>
    </row>
    <row r="2981" spans="1:14" x14ac:dyDescent="0.25">
      <c r="A2981" s="63" t="s">
        <v>570</v>
      </c>
      <c r="B2981" s="71" t="s">
        <v>936</v>
      </c>
      <c r="C2981" s="2">
        <v>4058075762435</v>
      </c>
      <c r="D2981" s="118"/>
      <c r="E2981" s="119"/>
      <c r="F2981" s="25"/>
      <c r="G2981" s="156" t="str">
        <f>HYPERLINK("https://ledvance.com/pt/product-datasheet/232856/216411","Ficha Técnica")</f>
        <v>Ficha Técnica</v>
      </c>
      <c r="H2981" s="15">
        <v>10</v>
      </c>
      <c r="I2981" s="163">
        <v>640</v>
      </c>
      <c r="J2981" s="15">
        <v>6</v>
      </c>
      <c r="K2981" s="163" t="s">
        <v>46</v>
      </c>
      <c r="L2981" s="15">
        <v>3</v>
      </c>
      <c r="M2981" s="193">
        <v>20.6</v>
      </c>
      <c r="N2981" s="173" t="s">
        <v>571</v>
      </c>
    </row>
    <row r="2982" spans="1:14" x14ac:dyDescent="0.25">
      <c r="A2982" s="63" t="s">
        <v>570</v>
      </c>
      <c r="B2982" s="71" t="s">
        <v>937</v>
      </c>
      <c r="C2982" s="2">
        <v>4058075762411</v>
      </c>
      <c r="D2982" s="118"/>
      <c r="E2982" s="119"/>
      <c r="F2982" s="25"/>
      <c r="G2982" s="156" t="str">
        <f>HYPERLINK("https://ledvance.com/pt/product-datasheet/232856/216414","Ficha Técnica")</f>
        <v>Ficha Técnica</v>
      </c>
      <c r="H2982" s="15">
        <v>10</v>
      </c>
      <c r="I2982" s="163">
        <v>640</v>
      </c>
      <c r="J2982" s="15">
        <v>6</v>
      </c>
      <c r="K2982" s="163" t="s">
        <v>46</v>
      </c>
      <c r="L2982" s="15">
        <v>3</v>
      </c>
      <c r="M2982" s="193">
        <v>21.7</v>
      </c>
      <c r="N2982" s="173" t="s">
        <v>571</v>
      </c>
    </row>
    <row r="2983" spans="1:14" x14ac:dyDescent="0.25">
      <c r="A2983" s="66" t="s">
        <v>570</v>
      </c>
      <c r="B2983" s="73" t="s">
        <v>938</v>
      </c>
      <c r="C2983" s="52"/>
      <c r="D2983" s="64"/>
      <c r="E2983" s="92"/>
      <c r="F2983" s="12"/>
      <c r="G2983" s="157"/>
      <c r="H2983" s="12"/>
      <c r="I2983" s="62"/>
      <c r="J2983" s="27"/>
      <c r="K2983" s="62"/>
      <c r="L2983" s="12"/>
      <c r="M2983" s="191"/>
      <c r="N2983" s="130"/>
    </row>
    <row r="2984" spans="1:14" x14ac:dyDescent="0.25">
      <c r="A2984" s="63" t="s">
        <v>570</v>
      </c>
      <c r="B2984" s="71" t="s">
        <v>939</v>
      </c>
      <c r="C2984" s="2">
        <v>4058075606999</v>
      </c>
      <c r="D2984" s="118"/>
      <c r="E2984" s="119"/>
      <c r="F2984" s="25"/>
      <c r="G2984" s="156" t="str">
        <f>HYPERLINK("https://ledvance.com/pt/product-datasheet/6780/163212","Ficha Técnica")</f>
        <v>Ficha Técnica</v>
      </c>
      <c r="H2984" s="15">
        <v>4</v>
      </c>
      <c r="I2984" s="163">
        <v>1521</v>
      </c>
      <c r="J2984" s="15" t="s">
        <v>1882</v>
      </c>
      <c r="K2984" s="163" t="s">
        <v>46</v>
      </c>
      <c r="L2984" s="15">
        <v>3</v>
      </c>
      <c r="M2984" s="193">
        <v>28.5</v>
      </c>
      <c r="N2984" s="173" t="s">
        <v>571</v>
      </c>
    </row>
    <row r="2985" spans="1:14" x14ac:dyDescent="0.25">
      <c r="A2985" s="66" t="s">
        <v>570</v>
      </c>
      <c r="B2985" s="73" t="s">
        <v>940</v>
      </c>
      <c r="C2985" s="52"/>
      <c r="D2985" s="64"/>
      <c r="E2985" s="92"/>
      <c r="F2985" s="12"/>
      <c r="G2985" s="157"/>
      <c r="H2985" s="12"/>
      <c r="I2985" s="62"/>
      <c r="J2985" s="27"/>
      <c r="K2985" s="62"/>
      <c r="L2985" s="12"/>
      <c r="M2985" s="191"/>
      <c r="N2985" s="130"/>
    </row>
    <row r="2986" spans="1:14" x14ac:dyDescent="0.25">
      <c r="A2986" s="63" t="s">
        <v>570</v>
      </c>
      <c r="B2986" s="71" t="s">
        <v>941</v>
      </c>
      <c r="C2986" s="2">
        <v>4058075435568</v>
      </c>
      <c r="D2986" s="118"/>
      <c r="E2986" s="119"/>
      <c r="F2986" s="25"/>
      <c r="G2986" s="156" t="str">
        <f>HYPERLINK("https://ledvance.com/pt/product-datasheet/6930/83281","Ficha Técnica")</f>
        <v>Ficha Técnica</v>
      </c>
      <c r="H2986" s="15">
        <v>4</v>
      </c>
      <c r="I2986" s="163">
        <v>470</v>
      </c>
      <c r="J2986" s="15">
        <v>4</v>
      </c>
      <c r="K2986" s="163" t="s">
        <v>46</v>
      </c>
      <c r="L2986" s="15">
        <v>4</v>
      </c>
      <c r="M2986" s="193">
        <v>7.4</v>
      </c>
      <c r="N2986" s="173" t="s">
        <v>571</v>
      </c>
    </row>
    <row r="2987" spans="1:14" x14ac:dyDescent="0.25">
      <c r="A2987" s="63" t="s">
        <v>570</v>
      </c>
      <c r="B2987" s="71" t="s">
        <v>942</v>
      </c>
      <c r="C2987" s="2">
        <v>4058075435537</v>
      </c>
      <c r="D2987" s="118"/>
      <c r="E2987" s="119"/>
      <c r="F2987" s="25"/>
      <c r="G2987" s="156" t="str">
        <f>HYPERLINK("https://ledvance.com/pt/product-datasheet/6930/83291","Ficha Técnica")</f>
        <v>Ficha Técnica</v>
      </c>
      <c r="H2987" s="15">
        <v>4</v>
      </c>
      <c r="I2987" s="163">
        <v>806</v>
      </c>
      <c r="J2987" s="15">
        <v>7</v>
      </c>
      <c r="K2987" s="163" t="s">
        <v>46</v>
      </c>
      <c r="L2987" s="15">
        <v>4</v>
      </c>
      <c r="M2987" s="193">
        <v>8.6999999999999993</v>
      </c>
      <c r="N2987" s="173" t="s">
        <v>571</v>
      </c>
    </row>
    <row r="2988" spans="1:14" x14ac:dyDescent="0.25">
      <c r="A2988" s="63" t="s">
        <v>570</v>
      </c>
      <c r="B2988" s="71" t="s">
        <v>943</v>
      </c>
      <c r="C2988" s="2">
        <v>4058075435490</v>
      </c>
      <c r="D2988" s="118"/>
      <c r="E2988" s="119"/>
      <c r="F2988" s="25"/>
      <c r="G2988" s="156" t="str">
        <f>HYPERLINK("https://ledvance.com/pt/product-datasheet/6932/60755","Ficha Técnica")</f>
        <v>Ficha Técnica</v>
      </c>
      <c r="H2988" s="15">
        <v>4</v>
      </c>
      <c r="I2988" s="163">
        <v>470</v>
      </c>
      <c r="J2988" s="15">
        <v>4</v>
      </c>
      <c r="K2988" s="163" t="s">
        <v>46</v>
      </c>
      <c r="L2988" s="15">
        <v>4</v>
      </c>
      <c r="M2988" s="193">
        <v>8.6999999999999993</v>
      </c>
      <c r="N2988" s="173" t="s">
        <v>571</v>
      </c>
    </row>
    <row r="2989" spans="1:14" x14ac:dyDescent="0.25">
      <c r="A2989" s="63" t="s">
        <v>570</v>
      </c>
      <c r="B2989" s="71" t="s">
        <v>944</v>
      </c>
      <c r="C2989" s="2">
        <v>4058075808942</v>
      </c>
      <c r="D2989" s="118"/>
      <c r="E2989" s="119"/>
      <c r="F2989" s="25"/>
      <c r="G2989" s="156" t="str">
        <f>HYPERLINK("https://ledvance.com/pt/product-datasheet/6936/60767","Ficha Técnica")</f>
        <v>Ficha Técnica</v>
      </c>
      <c r="H2989" s="15">
        <v>4</v>
      </c>
      <c r="I2989" s="163">
        <v>806</v>
      </c>
      <c r="J2989" s="15">
        <v>7</v>
      </c>
      <c r="K2989" s="163" t="s">
        <v>46</v>
      </c>
      <c r="L2989" s="15">
        <v>4</v>
      </c>
      <c r="M2989" s="193">
        <v>19.8</v>
      </c>
      <c r="N2989" s="173" t="s">
        <v>571</v>
      </c>
    </row>
    <row r="2990" spans="1:14" x14ac:dyDescent="0.25">
      <c r="A2990" s="63" t="s">
        <v>570</v>
      </c>
      <c r="B2990" s="71" t="s">
        <v>945</v>
      </c>
      <c r="C2990" s="2">
        <v>4058075435476</v>
      </c>
      <c r="D2990" s="118"/>
      <c r="E2990" s="119"/>
      <c r="F2990" s="25"/>
      <c r="G2990" s="156" t="str">
        <f>HYPERLINK("https://ledvance.com/pt/product-datasheet/6934/60779","Ficha Técnica")</f>
        <v>Ficha Técnica</v>
      </c>
      <c r="H2990" s="15">
        <v>4</v>
      </c>
      <c r="I2990" s="163">
        <v>470</v>
      </c>
      <c r="J2990" s="15">
        <v>4</v>
      </c>
      <c r="K2990" s="163" t="s">
        <v>46</v>
      </c>
      <c r="L2990" s="15">
        <v>4</v>
      </c>
      <c r="M2990" s="193">
        <v>9.6</v>
      </c>
      <c r="N2990" s="173" t="s">
        <v>571</v>
      </c>
    </row>
    <row r="2991" spans="1:14" x14ac:dyDescent="0.25">
      <c r="A2991" s="66" t="s">
        <v>570</v>
      </c>
      <c r="B2991" s="73" t="s">
        <v>946</v>
      </c>
      <c r="C2991" s="52"/>
      <c r="D2991" s="65"/>
      <c r="E2991" s="92"/>
      <c r="F2991" s="12"/>
      <c r="G2991" s="157"/>
      <c r="H2991" s="12"/>
      <c r="I2991" s="62"/>
      <c r="J2991" s="27"/>
      <c r="K2991" s="62"/>
      <c r="L2991" s="12"/>
      <c r="M2991" s="191"/>
      <c r="N2991" s="130"/>
    </row>
    <row r="2992" spans="1:14" x14ac:dyDescent="0.25">
      <c r="A2992" s="63" t="s">
        <v>570</v>
      </c>
      <c r="B2992" s="71" t="s">
        <v>1476</v>
      </c>
      <c r="C2992" s="2">
        <v>4099854071430</v>
      </c>
      <c r="D2992" s="118"/>
      <c r="E2992" s="119"/>
      <c r="F2992" s="25"/>
      <c r="G2992" s="156" t="str">
        <f>HYPERLINK("https://ledvance.com/pt/product-datasheet/251078/239216","Ficha Técnica")</f>
        <v>Ficha Técnica</v>
      </c>
      <c r="H2992" s="15">
        <v>10</v>
      </c>
      <c r="I2992" s="163">
        <v>350</v>
      </c>
      <c r="J2992" s="15" t="s">
        <v>1903</v>
      </c>
      <c r="K2992" s="163" t="s">
        <v>46</v>
      </c>
      <c r="L2992" s="15">
        <v>5</v>
      </c>
      <c r="M2992" s="193">
        <v>9.5</v>
      </c>
      <c r="N2992" s="173" t="s">
        <v>571</v>
      </c>
    </row>
    <row r="2993" spans="1:14" x14ac:dyDescent="0.25">
      <c r="A2993" s="63" t="s">
        <v>570</v>
      </c>
      <c r="B2993" s="71" t="s">
        <v>947</v>
      </c>
      <c r="C2993" s="2">
        <v>4099854048562</v>
      </c>
      <c r="D2993" s="118"/>
      <c r="E2993" s="119"/>
      <c r="F2993" s="25"/>
      <c r="G2993" s="156" t="str">
        <f>HYPERLINK("https://ledvance.com/pt/product-datasheet/250933/235981","Ficha Técnica")</f>
        <v>Ficha Técnica</v>
      </c>
      <c r="H2993" s="15">
        <v>6</v>
      </c>
      <c r="I2993" s="163">
        <v>450</v>
      </c>
      <c r="J2993" s="15" t="s">
        <v>1883</v>
      </c>
      <c r="K2993" s="163" t="s">
        <v>46</v>
      </c>
      <c r="L2993" s="15">
        <v>5</v>
      </c>
      <c r="M2993" s="193">
        <v>32.9</v>
      </c>
      <c r="N2993" s="173" t="s">
        <v>571</v>
      </c>
    </row>
    <row r="2994" spans="1:14" x14ac:dyDescent="0.25">
      <c r="A2994" s="63" t="s">
        <v>570</v>
      </c>
      <c r="B2994" s="71" t="s">
        <v>947</v>
      </c>
      <c r="C2994" s="2">
        <v>4099854048920</v>
      </c>
      <c r="D2994" s="118"/>
      <c r="E2994" s="119"/>
      <c r="F2994" s="25"/>
      <c r="G2994" s="156" t="str">
        <f>HYPERLINK("https://ledvance.com/pt/product-datasheet/250933/235984","Ficha Técnica")</f>
        <v>Ficha Técnica</v>
      </c>
      <c r="H2994" s="15">
        <v>6</v>
      </c>
      <c r="I2994" s="163">
        <v>450</v>
      </c>
      <c r="J2994" s="15" t="s">
        <v>1883</v>
      </c>
      <c r="K2994" s="163" t="s">
        <v>46</v>
      </c>
      <c r="L2994" s="15">
        <v>5</v>
      </c>
      <c r="M2994" s="193">
        <v>32.9</v>
      </c>
      <c r="N2994" s="173" t="s">
        <v>571</v>
      </c>
    </row>
    <row r="2995" spans="1:14" x14ac:dyDescent="0.25">
      <c r="A2995" s="66" t="s">
        <v>570</v>
      </c>
      <c r="B2995" s="73" t="s">
        <v>2196</v>
      </c>
      <c r="C2995" s="52"/>
      <c r="D2995" s="65"/>
      <c r="E2995" s="92"/>
      <c r="F2995" s="12"/>
      <c r="G2995" s="157"/>
      <c r="H2995" s="12"/>
      <c r="I2995" s="62"/>
      <c r="J2995" s="27"/>
      <c r="K2995" s="62"/>
      <c r="L2995" s="12"/>
      <c r="M2995" s="191"/>
      <c r="N2995" s="130"/>
    </row>
    <row r="2996" spans="1:14" x14ac:dyDescent="0.25">
      <c r="A2996" s="63" t="s">
        <v>570</v>
      </c>
      <c r="B2996" s="71" t="s">
        <v>948</v>
      </c>
      <c r="C2996" s="2">
        <v>4058075434820</v>
      </c>
      <c r="D2996" s="118"/>
      <c r="E2996" s="119"/>
      <c r="F2996" s="25"/>
      <c r="G2996" s="156" t="str">
        <f>HYPERLINK("https://ledvance.com/pt/product-datasheet/6945/77474","Ficha Técnica")</f>
        <v>Ficha Técnica</v>
      </c>
      <c r="H2996" s="15">
        <v>4</v>
      </c>
      <c r="I2996" s="163">
        <v>806</v>
      </c>
      <c r="J2996" s="15">
        <v>7</v>
      </c>
      <c r="K2996" s="163" t="s">
        <v>46</v>
      </c>
      <c r="L2996" s="15">
        <v>4</v>
      </c>
      <c r="M2996" s="193">
        <v>16.2</v>
      </c>
      <c r="N2996" s="173" t="s">
        <v>571</v>
      </c>
    </row>
    <row r="2997" spans="1:14" x14ac:dyDescent="0.25">
      <c r="A2997" s="63" t="s">
        <v>570</v>
      </c>
      <c r="B2997" s="71" t="s">
        <v>949</v>
      </c>
      <c r="C2997" s="2">
        <v>4058075434783</v>
      </c>
      <c r="D2997" s="118"/>
      <c r="E2997" s="119"/>
      <c r="F2997" s="25"/>
      <c r="G2997" s="156" t="str">
        <f>HYPERLINK("https://ledvance.com/pt/product-datasheet/6947/77467","Ficha Técnica")</f>
        <v>Ficha Técnica</v>
      </c>
      <c r="H2997" s="15">
        <v>4</v>
      </c>
      <c r="I2997" s="163">
        <v>470</v>
      </c>
      <c r="J2997" s="15">
        <v>4</v>
      </c>
      <c r="K2997" s="163" t="s">
        <v>46</v>
      </c>
      <c r="L2997" s="15">
        <v>4</v>
      </c>
      <c r="M2997" s="193">
        <v>7.7</v>
      </c>
      <c r="N2997" s="173" t="s">
        <v>571</v>
      </c>
    </row>
    <row r="2998" spans="1:14" x14ac:dyDescent="0.25">
      <c r="A2998" s="63" t="s">
        <v>570</v>
      </c>
      <c r="B2998" s="71" t="s">
        <v>950</v>
      </c>
      <c r="C2998" s="2">
        <v>4058075434745</v>
      </c>
      <c r="D2998" s="118"/>
      <c r="E2998" s="119"/>
      <c r="F2998" s="25"/>
      <c r="G2998" s="156" t="str">
        <f>HYPERLINK("https://ledvance.com/pt/product-datasheet/6946/77462","Ficha Técnica")</f>
        <v>Ficha Técnica</v>
      </c>
      <c r="H2998" s="15">
        <v>4</v>
      </c>
      <c r="I2998" s="163">
        <v>470</v>
      </c>
      <c r="J2998" s="15">
        <v>4</v>
      </c>
      <c r="K2998" s="163" t="s">
        <v>46</v>
      </c>
      <c r="L2998" s="15">
        <v>4</v>
      </c>
      <c r="M2998" s="193">
        <v>7.7</v>
      </c>
      <c r="N2998" s="173" t="s">
        <v>571</v>
      </c>
    </row>
    <row r="2999" spans="1:14" x14ac:dyDescent="0.25">
      <c r="A2999" s="66" t="s">
        <v>570</v>
      </c>
      <c r="B2999" s="73" t="s">
        <v>2197</v>
      </c>
      <c r="C2999" s="53"/>
      <c r="D2999" s="140"/>
      <c r="E2999" s="133"/>
      <c r="F2999" s="29"/>
      <c r="G2999" s="157"/>
      <c r="H2999" s="12"/>
      <c r="I2999" s="62"/>
      <c r="J2999" s="27"/>
      <c r="K2999" s="62"/>
      <c r="L2999" s="12"/>
      <c r="M2999" s="191"/>
      <c r="N2999" s="130"/>
    </row>
    <row r="3000" spans="1:14" x14ac:dyDescent="0.25">
      <c r="A3000" s="63" t="s">
        <v>570</v>
      </c>
      <c r="B3000" s="71" t="s">
        <v>1337</v>
      </c>
      <c r="C3000" s="2">
        <v>4099854240966</v>
      </c>
      <c r="D3000" s="93"/>
      <c r="E3000" s="61"/>
      <c r="G3000" s="156" t="str">
        <f>HYPERLINK("https://ledvance.com/pt/product-datasheet/303861/286552","Ficha Técnica")</f>
        <v>Ficha Técnica</v>
      </c>
      <c r="H3000" s="15">
        <v>6</v>
      </c>
      <c r="I3000" s="163">
        <v>470</v>
      </c>
      <c r="J3000" s="15" t="s">
        <v>1905</v>
      </c>
      <c r="K3000" s="163" t="s">
        <v>46</v>
      </c>
      <c r="L3000" s="15">
        <v>4</v>
      </c>
      <c r="M3000" s="193">
        <v>8.6</v>
      </c>
      <c r="N3000" s="173" t="s">
        <v>571</v>
      </c>
    </row>
    <row r="3001" spans="1:14" x14ac:dyDescent="0.25">
      <c r="A3001" s="63" t="s">
        <v>570</v>
      </c>
      <c r="B3001" s="71" t="s">
        <v>1338</v>
      </c>
      <c r="C3001" s="2">
        <v>4099854240683</v>
      </c>
      <c r="D3001" s="93"/>
      <c r="E3001" s="61"/>
      <c r="G3001" s="156" t="str">
        <f>HYPERLINK("https://ledvance.com/pt/product-datasheet/303861/286555","Ficha Técnica")</f>
        <v>Ficha Técnica</v>
      </c>
      <c r="H3001" s="15">
        <v>6</v>
      </c>
      <c r="I3001" s="163">
        <v>806</v>
      </c>
      <c r="J3001" s="15" t="s">
        <v>1902</v>
      </c>
      <c r="K3001" s="163" t="s">
        <v>46</v>
      </c>
      <c r="L3001" s="15">
        <v>4</v>
      </c>
      <c r="M3001" s="193">
        <v>10</v>
      </c>
      <c r="N3001" s="173" t="s">
        <v>571</v>
      </c>
    </row>
    <row r="3002" spans="1:14" x14ac:dyDescent="0.25">
      <c r="A3002" s="63" t="s">
        <v>570</v>
      </c>
      <c r="B3002" s="71" t="s">
        <v>1339</v>
      </c>
      <c r="C3002" s="2">
        <v>4099854240447</v>
      </c>
      <c r="D3002" s="93"/>
      <c r="E3002" s="61"/>
      <c r="G3002" s="156" t="str">
        <f>HYPERLINK("https://ledvance.com/pt/product-datasheet/303868/286558","Ficha Técnica")</f>
        <v>Ficha Técnica</v>
      </c>
      <c r="H3002" s="15">
        <v>6</v>
      </c>
      <c r="I3002" s="163">
        <v>470</v>
      </c>
      <c r="J3002" s="15" t="s">
        <v>1905</v>
      </c>
      <c r="K3002" s="163" t="s">
        <v>46</v>
      </c>
      <c r="L3002" s="15">
        <v>4</v>
      </c>
      <c r="M3002" s="193">
        <v>8.6</v>
      </c>
      <c r="N3002" s="173" t="s">
        <v>571</v>
      </c>
    </row>
    <row r="3003" spans="1:14" x14ac:dyDescent="0.25">
      <c r="A3003" s="63" t="s">
        <v>570</v>
      </c>
      <c r="B3003" s="71" t="s">
        <v>1340</v>
      </c>
      <c r="C3003" s="2">
        <v>4099854240720</v>
      </c>
      <c r="D3003" s="93"/>
      <c r="E3003" s="61"/>
      <c r="G3003" s="156" t="str">
        <f>HYPERLINK("https://ledvance.com/pt/product-datasheet/303870/286561","Ficha Técnica")</f>
        <v>Ficha Técnica</v>
      </c>
      <c r="H3003" s="15">
        <v>6</v>
      </c>
      <c r="I3003" s="163">
        <v>470</v>
      </c>
      <c r="J3003" s="15" t="s">
        <v>1905</v>
      </c>
      <c r="K3003" s="163" t="s">
        <v>46</v>
      </c>
      <c r="L3003" s="15">
        <v>4</v>
      </c>
      <c r="M3003" s="193">
        <v>8.6</v>
      </c>
      <c r="N3003" s="173" t="s">
        <v>571</v>
      </c>
    </row>
    <row r="3004" spans="1:14" x14ac:dyDescent="0.25">
      <c r="A3004" s="66" t="s">
        <v>570</v>
      </c>
      <c r="B3004" s="73" t="s">
        <v>951</v>
      </c>
      <c r="C3004" s="52"/>
      <c r="D3004" s="65"/>
      <c r="E3004" s="92"/>
      <c r="F3004" s="12"/>
      <c r="G3004" s="157"/>
      <c r="H3004" s="12"/>
      <c r="I3004" s="62"/>
      <c r="J3004" s="27"/>
      <c r="K3004" s="62"/>
      <c r="L3004" s="12"/>
      <c r="M3004" s="191"/>
      <c r="N3004" s="130"/>
    </row>
    <row r="3005" spans="1:14" x14ac:dyDescent="0.25">
      <c r="A3005" s="63" t="s">
        <v>570</v>
      </c>
      <c r="B3005" s="71" t="s">
        <v>952</v>
      </c>
      <c r="C3005" s="2">
        <v>4058075436787</v>
      </c>
      <c r="D3005" s="118"/>
      <c r="E3005" s="119"/>
      <c r="F3005" s="25"/>
      <c r="G3005" s="156" t="str">
        <f>HYPERLINK("https://ledvance.com/pt/product-datasheet/6957/49010","Ficha Técnica")</f>
        <v>Ficha Técnica</v>
      </c>
      <c r="H3005" s="15">
        <v>4</v>
      </c>
      <c r="I3005" s="163">
        <v>806</v>
      </c>
      <c r="J3005" s="15">
        <v>7</v>
      </c>
      <c r="K3005" s="163" t="s">
        <v>46</v>
      </c>
      <c r="L3005" s="15">
        <v>4</v>
      </c>
      <c r="M3005" s="193">
        <v>7.5</v>
      </c>
      <c r="N3005" s="173" t="s">
        <v>571</v>
      </c>
    </row>
    <row r="3006" spans="1:14" x14ac:dyDescent="0.25">
      <c r="A3006" s="63" t="s">
        <v>570</v>
      </c>
      <c r="B3006" s="71" t="s">
        <v>949</v>
      </c>
      <c r="C3006" s="2">
        <v>4058075434462</v>
      </c>
      <c r="D3006" s="118"/>
      <c r="E3006" s="119"/>
      <c r="F3006" s="25"/>
      <c r="G3006" s="156" t="str">
        <f>HYPERLINK("https://ledvance.com/pt/product-datasheet/6958/49003","Ficha Técnica")</f>
        <v>Ficha Técnica</v>
      </c>
      <c r="H3006" s="15">
        <v>4</v>
      </c>
      <c r="I3006" s="163">
        <v>470</v>
      </c>
      <c r="J3006" s="15">
        <v>4</v>
      </c>
      <c r="K3006" s="163" t="s">
        <v>46</v>
      </c>
      <c r="L3006" s="15">
        <v>4</v>
      </c>
      <c r="M3006" s="193">
        <v>21.1</v>
      </c>
      <c r="N3006" s="173" t="s">
        <v>571</v>
      </c>
    </row>
    <row r="3007" spans="1:14" x14ac:dyDescent="0.25">
      <c r="A3007" s="63" t="s">
        <v>570</v>
      </c>
      <c r="B3007" s="71" t="s">
        <v>950</v>
      </c>
      <c r="C3007" s="2">
        <v>4058075434448</v>
      </c>
      <c r="D3007" s="118"/>
      <c r="E3007" s="119"/>
      <c r="F3007" s="25"/>
      <c r="G3007" s="156" t="str">
        <f>HYPERLINK("https://ledvance.com/pt/product-datasheet/6959/48998","Ficha Técnica")</f>
        <v>Ficha Técnica</v>
      </c>
      <c r="H3007" s="15">
        <v>4</v>
      </c>
      <c r="I3007" s="163">
        <v>470</v>
      </c>
      <c r="J3007" s="15">
        <v>4</v>
      </c>
      <c r="K3007" s="163" t="s">
        <v>46</v>
      </c>
      <c r="L3007" s="15">
        <v>4</v>
      </c>
      <c r="M3007" s="193">
        <v>21.2</v>
      </c>
      <c r="N3007" s="173" t="s">
        <v>571</v>
      </c>
    </row>
    <row r="3008" spans="1:14" x14ac:dyDescent="0.25">
      <c r="A3008" s="63" t="s">
        <v>570</v>
      </c>
      <c r="B3008" s="71" t="s">
        <v>953</v>
      </c>
      <c r="C3008" s="2">
        <v>4058075433182</v>
      </c>
      <c r="D3008" s="118"/>
      <c r="E3008" s="119"/>
      <c r="F3008" s="25"/>
      <c r="G3008" s="156" t="str">
        <f>HYPERLINK("https://ledvance.com/pt/product-datasheet/6960/68931","Ficha Técnica")</f>
        <v>Ficha Técnica</v>
      </c>
      <c r="H3008" s="15">
        <v>4</v>
      </c>
      <c r="I3008" s="163">
        <v>350</v>
      </c>
      <c r="J3008" s="15" t="s">
        <v>1908</v>
      </c>
      <c r="K3008" s="163" t="s">
        <v>46</v>
      </c>
      <c r="L3008" s="15">
        <v>3</v>
      </c>
      <c r="M3008" s="193">
        <v>7.2</v>
      </c>
      <c r="N3008" s="173" t="s">
        <v>571</v>
      </c>
    </row>
    <row r="3009" spans="1:14" x14ac:dyDescent="0.25">
      <c r="A3009" s="63" t="s">
        <v>570</v>
      </c>
      <c r="B3009" s="71" t="s">
        <v>954</v>
      </c>
      <c r="C3009" s="2">
        <v>4058075432277</v>
      </c>
      <c r="D3009" s="118"/>
      <c r="E3009" s="119"/>
      <c r="F3009" s="25"/>
      <c r="G3009" s="156" t="str">
        <f>HYPERLINK("https://ledvance.com/pt/product-datasheet/6961/114909","Ficha Técnica")</f>
        <v>Ficha Técnica</v>
      </c>
      <c r="H3009" s="15">
        <v>4</v>
      </c>
      <c r="I3009" s="163">
        <v>470</v>
      </c>
      <c r="J3009" s="15">
        <v>4</v>
      </c>
      <c r="K3009" s="163" t="s">
        <v>46</v>
      </c>
      <c r="L3009" s="15">
        <v>4</v>
      </c>
      <c r="M3009" s="193">
        <v>18.399999999999999</v>
      </c>
      <c r="N3009" s="173" t="s">
        <v>571</v>
      </c>
    </row>
    <row r="3010" spans="1:14" x14ac:dyDescent="0.25">
      <c r="A3010" s="66" t="s">
        <v>570</v>
      </c>
      <c r="B3010" s="73" t="s">
        <v>955</v>
      </c>
      <c r="C3010" s="52"/>
      <c r="D3010" s="65"/>
      <c r="E3010" s="92"/>
      <c r="F3010" s="12"/>
      <c r="G3010" s="157"/>
      <c r="H3010" s="12"/>
      <c r="I3010" s="62"/>
      <c r="J3010" s="27"/>
      <c r="K3010" s="62"/>
      <c r="L3010" s="12"/>
      <c r="M3010" s="191"/>
      <c r="N3010" s="130"/>
    </row>
    <row r="3011" spans="1:14" x14ac:dyDescent="0.25">
      <c r="A3011" s="63" t="s">
        <v>570</v>
      </c>
      <c r="B3011" s="71" t="s">
        <v>1477</v>
      </c>
      <c r="C3011" s="2">
        <v>4099854048197</v>
      </c>
      <c r="D3011" s="118"/>
      <c r="E3011" s="119"/>
      <c r="F3011" s="25"/>
      <c r="G3011" s="156" t="str">
        <f>HYPERLINK("https://ledvance.com/pt/product-datasheet/251523/235706","Ficha Técnica")</f>
        <v>Ficha Técnica</v>
      </c>
      <c r="H3011" s="15">
        <v>10</v>
      </c>
      <c r="I3011" s="163">
        <v>470</v>
      </c>
      <c r="J3011" s="15" t="s">
        <v>1905</v>
      </c>
      <c r="K3011" s="163" t="s">
        <v>46</v>
      </c>
      <c r="L3011" s="15">
        <v>5</v>
      </c>
      <c r="M3011" s="193">
        <v>14.1</v>
      </c>
      <c r="N3011" s="173" t="s">
        <v>571</v>
      </c>
    </row>
    <row r="3012" spans="1:14" x14ac:dyDescent="0.25">
      <c r="A3012" s="63" t="s">
        <v>570</v>
      </c>
      <c r="B3012" s="71" t="s">
        <v>1478</v>
      </c>
      <c r="C3012" s="2">
        <v>4099854048210</v>
      </c>
      <c r="D3012" s="118"/>
      <c r="E3012" s="119"/>
      <c r="F3012" s="25"/>
      <c r="G3012" s="156" t="str">
        <f>HYPERLINK("https://ledvance.com/pt/product-datasheet/251523/235703","Ficha Técnica")</f>
        <v>Ficha Técnica</v>
      </c>
      <c r="H3012" s="15">
        <v>10</v>
      </c>
      <c r="I3012" s="163">
        <v>806</v>
      </c>
      <c r="J3012" s="15" t="s">
        <v>1876</v>
      </c>
      <c r="K3012" s="163" t="s">
        <v>46</v>
      </c>
      <c r="L3012" s="15">
        <v>5</v>
      </c>
      <c r="M3012" s="193">
        <v>15.5</v>
      </c>
      <c r="N3012" s="173" t="s">
        <v>571</v>
      </c>
    </row>
    <row r="3013" spans="1:14" x14ac:dyDescent="0.25">
      <c r="A3013" s="63" t="s">
        <v>570</v>
      </c>
      <c r="B3013" s="71" t="s">
        <v>2016</v>
      </c>
      <c r="C3013" s="2">
        <v>4099854043956</v>
      </c>
      <c r="D3013" s="118"/>
      <c r="E3013" s="119"/>
      <c r="F3013" s="25"/>
      <c r="G3013" s="156" t="str">
        <f>HYPERLINK("https://ledvance.com/pt/product-datasheet/251523/234651","Ficha Técnica")</f>
        <v>Ficha Técnica</v>
      </c>
      <c r="H3013" s="15">
        <v>10</v>
      </c>
      <c r="I3013" s="163">
        <v>806</v>
      </c>
      <c r="J3013" s="15" t="s">
        <v>1902</v>
      </c>
      <c r="K3013" s="163" t="s">
        <v>46</v>
      </c>
      <c r="L3013" s="15">
        <v>5</v>
      </c>
      <c r="M3013" s="193">
        <v>14.5</v>
      </c>
      <c r="N3013" s="173" t="s">
        <v>571</v>
      </c>
    </row>
    <row r="3014" spans="1:14" x14ac:dyDescent="0.25">
      <c r="A3014" s="66" t="s">
        <v>570</v>
      </c>
      <c r="B3014" s="73" t="s">
        <v>956</v>
      </c>
      <c r="C3014" s="52"/>
      <c r="D3014" s="65"/>
      <c r="E3014" s="92"/>
      <c r="F3014" s="12"/>
      <c r="G3014" s="157"/>
      <c r="H3014" s="12"/>
      <c r="I3014" s="62"/>
      <c r="J3014" s="27"/>
      <c r="K3014" s="62"/>
      <c r="L3014" s="12"/>
      <c r="M3014" s="191"/>
      <c r="N3014" s="130"/>
    </row>
    <row r="3015" spans="1:14" x14ac:dyDescent="0.25">
      <c r="A3015" s="63" t="s">
        <v>570</v>
      </c>
      <c r="B3015" s="71" t="s">
        <v>3896</v>
      </c>
      <c r="C3015" s="2">
        <v>4099854236792</v>
      </c>
      <c r="D3015" s="95">
        <v>4099854096051</v>
      </c>
      <c r="E3015" s="96" t="s">
        <v>1305</v>
      </c>
      <c r="G3015" s="156" t="str">
        <f>HYPERLINK("https://ledvance.com/pt/product-datasheet/251526/285383","Ficha Técnica")</f>
        <v>Ficha Técnica</v>
      </c>
      <c r="H3015" s="15">
        <v>10</v>
      </c>
      <c r="I3015" s="163">
        <v>806</v>
      </c>
      <c r="J3015" s="15" t="s">
        <v>1876</v>
      </c>
      <c r="K3015" s="163" t="s">
        <v>46</v>
      </c>
      <c r="L3015" s="15">
        <v>5</v>
      </c>
      <c r="M3015" s="193">
        <v>32.799999999999997</v>
      </c>
      <c r="N3015" s="173" t="s">
        <v>571</v>
      </c>
    </row>
    <row r="3016" spans="1:14" x14ac:dyDescent="0.25">
      <c r="A3016" s="63" t="s">
        <v>570</v>
      </c>
      <c r="B3016" s="71" t="s">
        <v>1653</v>
      </c>
      <c r="C3016" s="2">
        <v>4099854094200</v>
      </c>
      <c r="D3016" s="118"/>
      <c r="E3016" s="132"/>
      <c r="F3016" s="25"/>
      <c r="G3016" s="156" t="str">
        <f>HYPERLINK("https://ledvance.com/pt/product-datasheet/251526/248419","Ficha Técnica")</f>
        <v>Ficha Técnica</v>
      </c>
      <c r="H3016" s="15">
        <v>10</v>
      </c>
      <c r="I3016" s="163">
        <v>806</v>
      </c>
      <c r="J3016" s="15" t="s">
        <v>1902</v>
      </c>
      <c r="K3016" s="163" t="s">
        <v>46</v>
      </c>
      <c r="L3016" s="15">
        <v>5</v>
      </c>
      <c r="M3016" s="193">
        <v>17.3</v>
      </c>
      <c r="N3016" s="173" t="s">
        <v>571</v>
      </c>
    </row>
    <row r="3017" spans="1:14" x14ac:dyDescent="0.25">
      <c r="A3017" s="63" t="s">
        <v>570</v>
      </c>
      <c r="B3017" s="71" t="s">
        <v>1654</v>
      </c>
      <c r="C3017" s="2">
        <v>4099854094224</v>
      </c>
      <c r="D3017" s="118"/>
      <c r="E3017" s="132"/>
      <c r="F3017" s="25"/>
      <c r="G3017" s="156" t="str">
        <f>HYPERLINK("https://ledvance.com/pt/product-datasheet/251526/248422","Ficha Técnica")</f>
        <v>Ficha Técnica</v>
      </c>
      <c r="H3017" s="15">
        <v>10</v>
      </c>
      <c r="I3017" s="163">
        <v>1055</v>
      </c>
      <c r="J3017" s="15">
        <v>10</v>
      </c>
      <c r="K3017" s="163" t="s">
        <v>46</v>
      </c>
      <c r="L3017" s="15">
        <v>5</v>
      </c>
      <c r="M3017" s="193">
        <v>19.2</v>
      </c>
      <c r="N3017" s="173" t="s">
        <v>571</v>
      </c>
    </row>
    <row r="3018" spans="1:14" x14ac:dyDescent="0.25">
      <c r="A3018" s="66" t="s">
        <v>570</v>
      </c>
      <c r="B3018" s="73" t="s">
        <v>957</v>
      </c>
      <c r="C3018" s="52"/>
      <c r="D3018" s="65"/>
      <c r="E3018" s="92"/>
      <c r="F3018" s="12"/>
      <c r="G3018" s="157"/>
      <c r="H3018" s="12"/>
      <c r="I3018" s="62"/>
      <c r="J3018" s="27"/>
      <c r="K3018" s="62"/>
      <c r="L3018" s="12"/>
      <c r="M3018" s="191"/>
      <c r="N3018" s="130"/>
    </row>
    <row r="3019" spans="1:14" x14ac:dyDescent="0.25">
      <c r="A3019" s="63" t="s">
        <v>570</v>
      </c>
      <c r="B3019" s="71" t="s">
        <v>958</v>
      </c>
      <c r="C3019" s="2">
        <v>4099854070037</v>
      </c>
      <c r="D3019" s="84"/>
      <c r="E3019" s="85"/>
      <c r="F3019" s="25"/>
      <c r="G3019" s="156" t="str">
        <f>HYPERLINK("https://ledvance.com/pt/product-datasheet/251513/238835","Ficha Técnica")</f>
        <v>Ficha Técnica</v>
      </c>
      <c r="H3019" s="15">
        <v>10</v>
      </c>
      <c r="I3019" s="163">
        <v>350</v>
      </c>
      <c r="J3019" s="15">
        <v>4</v>
      </c>
      <c r="K3019" s="163" t="s">
        <v>46</v>
      </c>
      <c r="L3019" s="15">
        <v>4</v>
      </c>
      <c r="M3019" s="193">
        <v>9.3000000000000007</v>
      </c>
      <c r="N3019" s="173" t="s">
        <v>571</v>
      </c>
    </row>
    <row r="3020" spans="1:14" x14ac:dyDescent="0.25">
      <c r="A3020" s="63" t="s">
        <v>570</v>
      </c>
      <c r="B3020" s="71" t="s">
        <v>959</v>
      </c>
      <c r="C3020" s="2">
        <v>4099854062742</v>
      </c>
      <c r="D3020" s="84"/>
      <c r="E3020" s="85"/>
      <c r="F3020" s="25"/>
      <c r="G3020" s="156" t="str">
        <f>HYPERLINK("https://ledvance.com/pt/product-datasheet/251465/237636","Ficha Técnica")</f>
        <v>Ficha Técnica</v>
      </c>
      <c r="H3020" s="15">
        <v>10</v>
      </c>
      <c r="I3020" s="163">
        <v>650</v>
      </c>
      <c r="J3020" s="15" t="s">
        <v>1893</v>
      </c>
      <c r="K3020" s="163" t="s">
        <v>46</v>
      </c>
      <c r="L3020" s="15">
        <v>4</v>
      </c>
      <c r="M3020" s="193">
        <v>10.6</v>
      </c>
      <c r="N3020" s="173" t="s">
        <v>571</v>
      </c>
    </row>
    <row r="3021" spans="1:14" ht="23.25" x14ac:dyDescent="0.25">
      <c r="A3021" s="66"/>
      <c r="B3021" s="180" t="s">
        <v>2227</v>
      </c>
      <c r="C3021" s="51"/>
      <c r="D3021" s="141"/>
      <c r="E3021" s="142"/>
      <c r="F3021" s="179"/>
      <c r="G3021" s="157"/>
      <c r="H3021" s="12"/>
      <c r="I3021" s="62"/>
      <c r="J3021" s="27"/>
      <c r="K3021" s="62"/>
      <c r="L3021" s="12"/>
      <c r="M3021" s="191"/>
      <c r="N3021" s="130"/>
    </row>
    <row r="3022" spans="1:14" x14ac:dyDescent="0.25">
      <c r="A3022" s="66" t="s">
        <v>960</v>
      </c>
      <c r="B3022" s="79" t="s">
        <v>961</v>
      </c>
      <c r="C3022" s="54"/>
      <c r="D3022" s="143"/>
      <c r="E3022" s="144"/>
      <c r="F3022" s="12"/>
      <c r="G3022" s="157"/>
      <c r="H3022" s="12"/>
      <c r="I3022" s="62"/>
      <c r="J3022" s="27"/>
      <c r="K3022" s="62"/>
      <c r="L3022" s="12"/>
      <c r="M3022" s="191"/>
      <c r="N3022" s="130"/>
    </row>
    <row r="3023" spans="1:14" x14ac:dyDescent="0.25">
      <c r="A3023" s="63" t="s">
        <v>960</v>
      </c>
      <c r="B3023" s="71" t="s">
        <v>963</v>
      </c>
      <c r="C3023" s="2">
        <v>4050300591568</v>
      </c>
      <c r="D3023" s="84"/>
      <c r="E3023" s="85"/>
      <c r="F3023" s="34" t="s">
        <v>1657</v>
      </c>
      <c r="G3023" s="161" t="str">
        <f>HYPERLINK("https://ledvance.com/pt/product-datasheet/7340/105863","Ficha Técnica")</f>
        <v>Ficha Técnica</v>
      </c>
      <c r="H3023" s="15">
        <v>20</v>
      </c>
      <c r="I3023" s="163">
        <v>4750</v>
      </c>
      <c r="J3023" s="15">
        <v>54</v>
      </c>
      <c r="K3023" s="163"/>
      <c r="L3023" s="15"/>
      <c r="M3023" s="194">
        <v>8.5</v>
      </c>
      <c r="N3023" s="174" t="s">
        <v>962</v>
      </c>
    </row>
    <row r="3024" spans="1:14" x14ac:dyDescent="0.25">
      <c r="A3024" s="63" t="s">
        <v>960</v>
      </c>
      <c r="B3024" s="71" t="s">
        <v>965</v>
      </c>
      <c r="C3024" s="2">
        <v>4008321325662</v>
      </c>
      <c r="D3024" s="84"/>
      <c r="E3024" s="85"/>
      <c r="F3024" s="34" t="s">
        <v>1657</v>
      </c>
      <c r="G3024" s="161" t="str">
        <f>HYPERLINK("https://ledvance.com/pt/product-datasheet/7360/44121","Ficha Técnica")</f>
        <v>Ficha Técnica</v>
      </c>
      <c r="H3024" s="15">
        <v>25</v>
      </c>
      <c r="I3024" s="163">
        <v>300</v>
      </c>
      <c r="J3024" s="15">
        <v>6</v>
      </c>
      <c r="K3024" s="163"/>
      <c r="L3024" s="15"/>
      <c r="M3024" s="194">
        <v>9.1999999999999993</v>
      </c>
      <c r="N3024" s="175" t="s">
        <v>964</v>
      </c>
    </row>
    <row r="3025" spans="1:14" x14ac:dyDescent="0.25">
      <c r="A3025" s="63" t="s">
        <v>960</v>
      </c>
      <c r="B3025" s="71" t="s">
        <v>966</v>
      </c>
      <c r="C3025" s="2">
        <v>4008321325846</v>
      </c>
      <c r="D3025" s="84"/>
      <c r="E3025" s="85"/>
      <c r="F3025" s="34" t="s">
        <v>1657</v>
      </c>
      <c r="G3025" s="161" t="str">
        <f>HYPERLINK("https://ledvance.com/pt/product-datasheet/7360/44163","Ficha Técnica")</f>
        <v>Ficha Técnica</v>
      </c>
      <c r="H3025" s="15">
        <v>25</v>
      </c>
      <c r="I3025" s="163">
        <v>450</v>
      </c>
      <c r="J3025" s="15">
        <v>8</v>
      </c>
      <c r="K3025" s="163"/>
      <c r="L3025" s="15"/>
      <c r="M3025" s="194">
        <v>9.6</v>
      </c>
      <c r="N3025" s="175" t="s">
        <v>964</v>
      </c>
    </row>
    <row r="3026" spans="1:14" x14ac:dyDescent="0.25">
      <c r="A3026" s="63" t="s">
        <v>960</v>
      </c>
      <c r="B3026" s="71" t="s">
        <v>967</v>
      </c>
      <c r="C3026" s="2">
        <v>4050300517834</v>
      </c>
      <c r="D3026" s="84"/>
      <c r="E3026" s="85"/>
      <c r="F3026" s="34" t="s">
        <v>1657</v>
      </c>
      <c r="G3026" s="161" t="str">
        <f>HYPERLINK("https://ledvance.com/pt/product-datasheet/7366/102454","Ficha Técnica")</f>
        <v>Ficha Técnica</v>
      </c>
      <c r="H3026" s="15">
        <v>25</v>
      </c>
      <c r="I3026" s="163">
        <v>1300</v>
      </c>
      <c r="J3026" s="15">
        <v>18</v>
      </c>
      <c r="K3026" s="163"/>
      <c r="L3026" s="15"/>
      <c r="M3026" s="194">
        <v>6.4</v>
      </c>
      <c r="N3026" s="174" t="s">
        <v>962</v>
      </c>
    </row>
    <row r="3027" spans="1:14" x14ac:dyDescent="0.25">
      <c r="A3027" s="63" t="s">
        <v>960</v>
      </c>
      <c r="B3027" s="71" t="s">
        <v>968</v>
      </c>
      <c r="C3027" s="2">
        <v>4050300517810</v>
      </c>
      <c r="D3027" s="84"/>
      <c r="E3027" s="85"/>
      <c r="F3027" s="34" t="s">
        <v>1657</v>
      </c>
      <c r="G3027" s="161" t="str">
        <f>HYPERLINK("https://ledvance.com/pt/product-datasheet/7366/105335","Ficha Técnica")</f>
        <v>Ficha Técnica</v>
      </c>
      <c r="H3027" s="15">
        <v>25</v>
      </c>
      <c r="I3027" s="163">
        <v>1300</v>
      </c>
      <c r="J3027" s="15">
        <v>18</v>
      </c>
      <c r="K3027" s="163"/>
      <c r="L3027" s="15"/>
      <c r="M3027" s="194">
        <v>6.4</v>
      </c>
      <c r="N3027" s="174" t="s">
        <v>962</v>
      </c>
    </row>
    <row r="3028" spans="1:14" x14ac:dyDescent="0.25">
      <c r="A3028" s="63" t="s">
        <v>960</v>
      </c>
      <c r="B3028" s="71" t="s">
        <v>969</v>
      </c>
      <c r="C3028" s="2">
        <v>4050300518015</v>
      </c>
      <c r="D3028" s="103"/>
      <c r="E3028" s="127"/>
      <c r="F3028" s="34" t="s">
        <v>1657</v>
      </c>
      <c r="G3028" s="161" t="str">
        <f>HYPERLINK("https://ledvance.com/pt/product-datasheet/7366/106647","Ficha Técnica")</f>
        <v>Ficha Técnica</v>
      </c>
      <c r="H3028" s="15">
        <v>25</v>
      </c>
      <c r="I3028" s="163">
        <v>2350</v>
      </c>
      <c r="J3028" s="15">
        <v>30</v>
      </c>
      <c r="K3028" s="163"/>
      <c r="L3028" s="15"/>
      <c r="M3028" s="194">
        <v>15.4</v>
      </c>
      <c r="N3028" s="174" t="s">
        <v>962</v>
      </c>
    </row>
    <row r="3029" spans="1:14" x14ac:dyDescent="0.25">
      <c r="A3029" s="63" t="s">
        <v>960</v>
      </c>
      <c r="B3029" s="71" t="s">
        <v>970</v>
      </c>
      <c r="C3029" s="2">
        <v>4050300517919</v>
      </c>
      <c r="D3029" s="103"/>
      <c r="E3029" s="127"/>
      <c r="F3029" s="34" t="s">
        <v>1657</v>
      </c>
      <c r="G3029" s="161" t="str">
        <f>HYPERLINK("https://ledvance.com/pt/product-datasheet/7366/44575","Ficha Técnica")</f>
        <v>Ficha Técnica</v>
      </c>
      <c r="H3029" s="15">
        <v>25</v>
      </c>
      <c r="I3029" s="163">
        <v>3250</v>
      </c>
      <c r="J3029" s="15">
        <v>36</v>
      </c>
      <c r="K3029" s="163"/>
      <c r="L3029" s="15"/>
      <c r="M3029" s="194">
        <v>7.8</v>
      </c>
      <c r="N3029" s="174" t="s">
        <v>962</v>
      </c>
    </row>
    <row r="3030" spans="1:14" x14ac:dyDescent="0.25">
      <c r="A3030" s="63" t="s">
        <v>960</v>
      </c>
      <c r="B3030" s="71" t="s">
        <v>971</v>
      </c>
      <c r="C3030" s="2">
        <v>4050300517896</v>
      </c>
      <c r="D3030" s="103"/>
      <c r="E3030" s="127"/>
      <c r="F3030" s="34" t="s">
        <v>1657</v>
      </c>
      <c r="G3030" s="161" t="str">
        <f>HYPERLINK("https://ledvance.com/pt/product-datasheet/7366/105541","Ficha Técnica")</f>
        <v>Ficha Técnica</v>
      </c>
      <c r="H3030" s="15">
        <v>25</v>
      </c>
      <c r="I3030" s="163">
        <v>3250</v>
      </c>
      <c r="J3030" s="15">
        <v>36</v>
      </c>
      <c r="K3030" s="163"/>
      <c r="L3030" s="15"/>
      <c r="M3030" s="194">
        <v>7.8</v>
      </c>
      <c r="N3030" s="174" t="s">
        <v>962</v>
      </c>
    </row>
    <row r="3031" spans="1:14" x14ac:dyDescent="0.25">
      <c r="A3031" s="63" t="s">
        <v>960</v>
      </c>
      <c r="B3031" s="71" t="s">
        <v>972</v>
      </c>
      <c r="C3031" s="2">
        <v>4050300603049</v>
      </c>
      <c r="D3031" s="103"/>
      <c r="E3031" s="127"/>
      <c r="F3031" s="34" t="s">
        <v>1657</v>
      </c>
      <c r="G3031" s="161" t="str">
        <f>HYPERLINK("https://ledvance.com/pt/product-datasheet/7366/102460","Ficha Técnica")</f>
        <v>Ficha Técnica</v>
      </c>
      <c r="H3031" s="15">
        <v>25</v>
      </c>
      <c r="I3031" s="163">
        <v>5200</v>
      </c>
      <c r="J3031" s="15">
        <v>58</v>
      </c>
      <c r="K3031" s="163"/>
      <c r="L3031" s="15"/>
      <c r="M3031" s="194">
        <v>17.100000000000001</v>
      </c>
      <c r="N3031" s="174" t="s">
        <v>962</v>
      </c>
    </row>
    <row r="3032" spans="1:14" x14ac:dyDescent="0.25">
      <c r="A3032" s="63" t="s">
        <v>960</v>
      </c>
      <c r="B3032" s="71" t="s">
        <v>973</v>
      </c>
      <c r="C3032" s="2">
        <v>4050300517971</v>
      </c>
      <c r="D3032" s="103"/>
      <c r="E3032" s="127"/>
      <c r="F3032" s="34" t="s">
        <v>1657</v>
      </c>
      <c r="G3032" s="161" t="str">
        <f>HYPERLINK("https://ledvance.com/pt/product-datasheet/7366/102962","Ficha Técnica")</f>
        <v>Ficha Técnica</v>
      </c>
      <c r="H3032" s="15">
        <v>25</v>
      </c>
      <c r="I3032" s="163">
        <v>5200</v>
      </c>
      <c r="J3032" s="15">
        <v>58</v>
      </c>
      <c r="K3032" s="163"/>
      <c r="L3032" s="15"/>
      <c r="M3032" s="194">
        <v>17.100000000000001</v>
      </c>
      <c r="N3032" s="174" t="s">
        <v>962</v>
      </c>
    </row>
    <row r="3033" spans="1:14" x14ac:dyDescent="0.25">
      <c r="A3033" s="63" t="s">
        <v>960</v>
      </c>
      <c r="B3033" s="71" t="s">
        <v>974</v>
      </c>
      <c r="C3033" s="2">
        <v>4050300517957</v>
      </c>
      <c r="D3033" s="103"/>
      <c r="E3033" s="127"/>
      <c r="F3033" s="34" t="s">
        <v>1657</v>
      </c>
      <c r="G3033" s="161" t="str">
        <f>HYPERLINK("https://ledvance.com/pt/product-datasheet/7366/102605","Ficha Técnica")</f>
        <v>Ficha Técnica</v>
      </c>
      <c r="H3033" s="15">
        <v>25</v>
      </c>
      <c r="I3033" s="163">
        <v>5200</v>
      </c>
      <c r="J3033" s="15">
        <v>58</v>
      </c>
      <c r="K3033" s="163"/>
      <c r="L3033" s="15"/>
      <c r="M3033" s="194">
        <v>17.100000000000001</v>
      </c>
      <c r="N3033" s="174" t="s">
        <v>962</v>
      </c>
    </row>
    <row r="3034" spans="1:14" x14ac:dyDescent="0.25">
      <c r="A3034" s="63" t="s">
        <v>960</v>
      </c>
      <c r="B3034" s="71" t="s">
        <v>975</v>
      </c>
      <c r="C3034" s="2">
        <v>4050300517933</v>
      </c>
      <c r="D3034" s="103"/>
      <c r="E3034" s="127"/>
      <c r="F3034" s="34" t="s">
        <v>1657</v>
      </c>
      <c r="G3034" s="161" t="str">
        <f>HYPERLINK("https://ledvance.com/pt/product-datasheet/7366/42829","Ficha Técnica")</f>
        <v>Ficha Técnica</v>
      </c>
      <c r="H3034" s="15">
        <v>25</v>
      </c>
      <c r="I3034" s="163">
        <v>4900</v>
      </c>
      <c r="J3034" s="15">
        <v>58</v>
      </c>
      <c r="K3034" s="163"/>
      <c r="L3034" s="15"/>
      <c r="M3034" s="194">
        <v>17.100000000000001</v>
      </c>
      <c r="N3034" s="174" t="s">
        <v>962</v>
      </c>
    </row>
    <row r="3035" spans="1:14" x14ac:dyDescent="0.25">
      <c r="A3035" s="63" t="s">
        <v>960</v>
      </c>
      <c r="B3035" s="71" t="s">
        <v>976</v>
      </c>
      <c r="C3035" s="2">
        <v>4008321002990</v>
      </c>
      <c r="D3035" s="103"/>
      <c r="E3035" s="127"/>
      <c r="F3035" s="34" t="s">
        <v>1657</v>
      </c>
      <c r="G3035" s="161" t="str">
        <f>HYPERLINK("https://ledvance.com/pt/product-datasheet/7366/105353","Ficha Técnica")</f>
        <v>Ficha Técnica</v>
      </c>
      <c r="H3035" s="15">
        <v>25</v>
      </c>
      <c r="I3035" s="163">
        <v>4900</v>
      </c>
      <c r="J3035" s="15">
        <v>58</v>
      </c>
      <c r="K3035" s="163"/>
      <c r="L3035" s="15"/>
      <c r="M3035" s="194">
        <v>17.100000000000001</v>
      </c>
      <c r="N3035" s="174" t="s">
        <v>962</v>
      </c>
    </row>
    <row r="3036" spans="1:14" x14ac:dyDescent="0.25">
      <c r="A3036" s="63" t="s">
        <v>960</v>
      </c>
      <c r="B3036" s="71" t="s">
        <v>977</v>
      </c>
      <c r="C3036" s="2">
        <v>4050300518091</v>
      </c>
      <c r="D3036" s="84"/>
      <c r="E3036" s="85"/>
      <c r="F3036" s="34" t="s">
        <v>1657</v>
      </c>
      <c r="G3036" s="161" t="str">
        <f>HYPERLINK("https://ledvance.com/pt/product-datasheet/7378/108257","Ficha Técnica")</f>
        <v>Ficha Técnica</v>
      </c>
      <c r="H3036" s="15">
        <v>25</v>
      </c>
      <c r="I3036" s="163">
        <v>3100</v>
      </c>
      <c r="J3036" s="15">
        <v>36</v>
      </c>
      <c r="K3036" s="163"/>
      <c r="L3036" s="15"/>
      <c r="M3036" s="194">
        <v>27.2</v>
      </c>
      <c r="N3036" s="174" t="s">
        <v>962</v>
      </c>
    </row>
    <row r="3037" spans="1:14" x14ac:dyDescent="0.25">
      <c r="A3037" s="63" t="s">
        <v>960</v>
      </c>
      <c r="B3037" s="78" t="s">
        <v>978</v>
      </c>
      <c r="C3037" s="4">
        <v>4050300010540</v>
      </c>
      <c r="D3037" s="145"/>
      <c r="E3037" s="111"/>
      <c r="F3037" s="34" t="s">
        <v>1657</v>
      </c>
      <c r="G3037" s="161" t="str">
        <f>HYPERLINK("https://ledvance.com/pt/product-datasheet/7376/105414","Ficha Técnica")</f>
        <v>Ficha Técnica</v>
      </c>
      <c r="H3037" s="15">
        <v>10</v>
      </c>
      <c r="I3037" s="163">
        <v>1300</v>
      </c>
      <c r="J3037" s="15">
        <v>30</v>
      </c>
      <c r="K3037" s="163"/>
      <c r="L3037" s="15"/>
      <c r="M3037" s="195">
        <v>15.5</v>
      </c>
      <c r="N3037" s="175" t="s">
        <v>964</v>
      </c>
    </row>
    <row r="3038" spans="1:14" x14ac:dyDescent="0.25">
      <c r="A3038" s="63" t="s">
        <v>960</v>
      </c>
      <c r="B3038" s="71" t="s">
        <v>979</v>
      </c>
      <c r="C3038" s="2">
        <v>4050300010526</v>
      </c>
      <c r="D3038" s="84"/>
      <c r="E3038" s="85"/>
      <c r="F3038" s="34" t="s">
        <v>1657</v>
      </c>
      <c r="G3038" s="161" t="str">
        <f>HYPERLINK("https://ledvance.com/pt/product-datasheet/7376/108245","Ficha Técnica")</f>
        <v>Ficha Técnica</v>
      </c>
      <c r="H3038" s="15">
        <v>10</v>
      </c>
      <c r="I3038" s="163">
        <v>1800</v>
      </c>
      <c r="J3038" s="15">
        <v>36</v>
      </c>
      <c r="K3038" s="163"/>
      <c r="L3038" s="15"/>
      <c r="M3038" s="195">
        <v>13.4</v>
      </c>
      <c r="N3038" s="175" t="s">
        <v>964</v>
      </c>
    </row>
    <row r="3039" spans="1:14" x14ac:dyDescent="0.25">
      <c r="A3039" s="63" t="s">
        <v>960</v>
      </c>
      <c r="B3039" s="71" t="s">
        <v>980</v>
      </c>
      <c r="C3039" s="2">
        <v>4008321581105</v>
      </c>
      <c r="D3039" s="84"/>
      <c r="E3039" s="85"/>
      <c r="F3039" s="34" t="s">
        <v>1657</v>
      </c>
      <c r="G3039" s="161" t="str">
        <f>HYPERLINK("https://ledvance.com/pt/product-datasheet/7391/106676","Ficha Técnica")</f>
        <v>Ficha Técnica</v>
      </c>
      <c r="H3039" s="15">
        <v>12</v>
      </c>
      <c r="I3039" s="163">
        <v>1150</v>
      </c>
      <c r="J3039" s="15">
        <v>22</v>
      </c>
      <c r="K3039" s="163"/>
      <c r="L3039" s="15"/>
      <c r="M3039" s="194">
        <v>28.3</v>
      </c>
      <c r="N3039" s="174" t="s">
        <v>962</v>
      </c>
    </row>
    <row r="3040" spans="1:14" x14ac:dyDescent="0.25">
      <c r="A3040" s="63" t="s">
        <v>960</v>
      </c>
      <c r="B3040" s="71" t="s">
        <v>981</v>
      </c>
      <c r="C3040" s="2">
        <v>4008321581129</v>
      </c>
      <c r="D3040" s="84"/>
      <c r="E3040" s="85"/>
      <c r="F3040" s="34" t="s">
        <v>1657</v>
      </c>
      <c r="G3040" s="161" t="str">
        <f>HYPERLINK("https://ledvance.com/pt/product-datasheet/7391/106679","Ficha Técnica")</f>
        <v>Ficha Técnica</v>
      </c>
      <c r="H3040" s="15">
        <v>12</v>
      </c>
      <c r="I3040" s="163">
        <v>2100</v>
      </c>
      <c r="J3040" s="15">
        <v>32</v>
      </c>
      <c r="K3040" s="163"/>
      <c r="L3040" s="15"/>
      <c r="M3040" s="194">
        <v>31.6</v>
      </c>
      <c r="N3040" s="174" t="s">
        <v>962</v>
      </c>
    </row>
    <row r="3041" spans="1:14" x14ac:dyDescent="0.25">
      <c r="A3041" s="63" t="s">
        <v>960</v>
      </c>
      <c r="B3041" s="71" t="s">
        <v>982</v>
      </c>
      <c r="C3041" s="2">
        <v>4008321581143</v>
      </c>
      <c r="D3041" s="84"/>
      <c r="E3041" s="85"/>
      <c r="F3041" s="34" t="s">
        <v>1657</v>
      </c>
      <c r="G3041" s="161" t="str">
        <f>HYPERLINK("https://ledvance.com/pt/product-datasheet/7391/106685","Ficha Técnica")</f>
        <v>Ficha Técnica</v>
      </c>
      <c r="H3041" s="15">
        <v>12</v>
      </c>
      <c r="I3041" s="163">
        <v>2100</v>
      </c>
      <c r="J3041" s="15">
        <v>32</v>
      </c>
      <c r="K3041" s="163"/>
      <c r="L3041" s="15"/>
      <c r="M3041" s="194">
        <v>31.6</v>
      </c>
      <c r="N3041" s="174" t="s">
        <v>962</v>
      </c>
    </row>
    <row r="3042" spans="1:14" x14ac:dyDescent="0.25">
      <c r="A3042" s="63" t="s">
        <v>960</v>
      </c>
      <c r="B3042" s="71" t="s">
        <v>983</v>
      </c>
      <c r="C3042" s="2">
        <v>4050300014845</v>
      </c>
      <c r="D3042" s="84"/>
      <c r="E3042" s="85"/>
      <c r="F3042" s="34" t="s">
        <v>1657</v>
      </c>
      <c r="G3042" s="161" t="str">
        <f>HYPERLINK("https://ledvance.com/pt/product-datasheet/7391/112869","Ficha Técnica")</f>
        <v>Ficha Técnica</v>
      </c>
      <c r="H3042" s="15">
        <v>12</v>
      </c>
      <c r="I3042" s="163">
        <v>2900</v>
      </c>
      <c r="J3042" s="15">
        <v>40</v>
      </c>
      <c r="K3042" s="163"/>
      <c r="L3042" s="15"/>
      <c r="M3042" s="194">
        <v>38.6</v>
      </c>
      <c r="N3042" s="174" t="s">
        <v>962</v>
      </c>
    </row>
    <row r="3043" spans="1:14" x14ac:dyDescent="0.25">
      <c r="A3043" s="63" t="s">
        <v>960</v>
      </c>
      <c r="B3043" s="71" t="s">
        <v>984</v>
      </c>
      <c r="C3043" s="2">
        <v>4050300270166</v>
      </c>
      <c r="D3043" s="84"/>
      <c r="E3043" s="85"/>
      <c r="F3043" s="34" t="s">
        <v>1657</v>
      </c>
      <c r="G3043" s="161" t="str">
        <f>HYPERLINK("https://ledvance.com/pt/product-datasheet/7404/44672","Ficha Técnica")</f>
        <v>Ficha Técnica</v>
      </c>
      <c r="H3043" s="15">
        <v>1200</v>
      </c>
      <c r="I3043" s="163"/>
      <c r="J3043" s="15">
        <v>65</v>
      </c>
      <c r="K3043" s="163"/>
      <c r="L3043" s="15"/>
      <c r="M3043" s="194">
        <v>2</v>
      </c>
      <c r="N3043" s="174" t="s">
        <v>962</v>
      </c>
    </row>
    <row r="3044" spans="1:14" x14ac:dyDescent="0.25">
      <c r="A3044" s="63" t="s">
        <v>960</v>
      </c>
      <c r="B3044" s="71" t="s">
        <v>984</v>
      </c>
      <c r="C3044" s="2">
        <v>4050300854045</v>
      </c>
      <c r="D3044" s="84"/>
      <c r="E3044" s="85"/>
      <c r="F3044" s="34" t="s">
        <v>1657</v>
      </c>
      <c r="G3044" s="161" t="str">
        <f>HYPERLINK("https://ledvance.com/pt/product-datasheet/7404/42609","Ficha Técnica")</f>
        <v>Ficha Técnica</v>
      </c>
      <c r="H3044" s="15">
        <v>400</v>
      </c>
      <c r="I3044" s="163"/>
      <c r="J3044" s="15">
        <v>65</v>
      </c>
      <c r="K3044" s="163"/>
      <c r="L3044" s="15"/>
      <c r="M3044" s="194">
        <v>2</v>
      </c>
      <c r="N3044" s="174" t="s">
        <v>962</v>
      </c>
    </row>
    <row r="3045" spans="1:14" x14ac:dyDescent="0.25">
      <c r="A3045" s="63" t="s">
        <v>960</v>
      </c>
      <c r="B3045" s="71" t="s">
        <v>985</v>
      </c>
      <c r="C3045" s="2">
        <v>4050300422855</v>
      </c>
      <c r="D3045" s="84"/>
      <c r="E3045" s="85"/>
      <c r="F3045" s="34" t="s">
        <v>1657</v>
      </c>
      <c r="G3045" s="161" t="str">
        <f>HYPERLINK("https://ledvance.com/pt/product-datasheet/7404/56003","Ficha Técnica")</f>
        <v>Ficha Técnica</v>
      </c>
      <c r="H3045" s="15">
        <v>1200</v>
      </c>
      <c r="I3045" s="163"/>
      <c r="J3045" s="15">
        <v>65</v>
      </c>
      <c r="K3045" s="163"/>
      <c r="L3045" s="15"/>
      <c r="M3045" s="195">
        <v>8.5</v>
      </c>
      <c r="N3045" s="175" t="s">
        <v>964</v>
      </c>
    </row>
    <row r="3046" spans="1:14" x14ac:dyDescent="0.25">
      <c r="A3046" s="63" t="s">
        <v>960</v>
      </c>
      <c r="B3046" s="71" t="s">
        <v>985</v>
      </c>
      <c r="C3046" s="2">
        <v>4050300854106</v>
      </c>
      <c r="D3046" s="84"/>
      <c r="E3046" s="85"/>
      <c r="F3046" s="34" t="s">
        <v>1657</v>
      </c>
      <c r="G3046" s="161" t="str">
        <f>HYPERLINK("https://ledvance.com/pt/product-datasheet/7404/55999","Ficha Técnica")</f>
        <v>Ficha Técnica</v>
      </c>
      <c r="H3046" s="15">
        <v>200</v>
      </c>
      <c r="I3046" s="163"/>
      <c r="J3046" s="15">
        <v>65</v>
      </c>
      <c r="K3046" s="163"/>
      <c r="L3046" s="15"/>
      <c r="M3046" s="195">
        <v>8.5</v>
      </c>
      <c r="N3046" s="175" t="s">
        <v>964</v>
      </c>
    </row>
    <row r="3047" spans="1:14" x14ac:dyDescent="0.25">
      <c r="A3047" s="63" t="s">
        <v>960</v>
      </c>
      <c r="B3047" s="71" t="s">
        <v>986</v>
      </c>
      <c r="C3047" s="2">
        <v>4050300854120</v>
      </c>
      <c r="D3047" s="84"/>
      <c r="E3047" s="85"/>
      <c r="F3047" s="34" t="s">
        <v>1657</v>
      </c>
      <c r="G3047" s="161" t="str">
        <f>HYPERLINK("https://ledvance.com/pt/product-datasheet/7404/56017","Ficha Técnica")</f>
        <v>Ficha Técnica</v>
      </c>
      <c r="H3047" s="15">
        <v>200</v>
      </c>
      <c r="I3047" s="163"/>
      <c r="J3047" s="15">
        <v>32</v>
      </c>
      <c r="K3047" s="163"/>
      <c r="L3047" s="15"/>
      <c r="M3047" s="195">
        <v>8.5</v>
      </c>
      <c r="N3047" s="175" t="s">
        <v>964</v>
      </c>
    </row>
    <row r="3048" spans="1:14" x14ac:dyDescent="0.25">
      <c r="A3048" s="63" t="s">
        <v>960</v>
      </c>
      <c r="B3048" s="71" t="s">
        <v>987</v>
      </c>
      <c r="C3048" s="2">
        <v>4050300012803</v>
      </c>
      <c r="D3048" s="84"/>
      <c r="E3048" s="85"/>
      <c r="F3048" s="34" t="s">
        <v>1657</v>
      </c>
      <c r="G3048" s="161" t="str">
        <f>HYPERLINK("https://ledvance.com/pt/product-datasheet/7405/44565","Ficha Técnica")</f>
        <v>Ficha Técnica</v>
      </c>
      <c r="H3048" s="15">
        <v>1200</v>
      </c>
      <c r="I3048" s="163"/>
      <c r="J3048" s="15">
        <v>22</v>
      </c>
      <c r="K3048" s="163"/>
      <c r="L3048" s="15"/>
      <c r="M3048" s="194">
        <v>2.1</v>
      </c>
      <c r="N3048" s="174" t="s">
        <v>962</v>
      </c>
    </row>
    <row r="3049" spans="1:14" x14ac:dyDescent="0.25">
      <c r="A3049" s="63" t="s">
        <v>960</v>
      </c>
      <c r="B3049" s="71" t="s">
        <v>987</v>
      </c>
      <c r="C3049" s="2">
        <v>4050300854083</v>
      </c>
      <c r="D3049" s="84"/>
      <c r="E3049" s="85"/>
      <c r="F3049" s="34" t="s">
        <v>1657</v>
      </c>
      <c r="G3049" s="161" t="str">
        <f>HYPERLINK("https://ledvance.com/pt/product-datasheet/7405/42621","Ficha Técnica")</f>
        <v>Ficha Técnica</v>
      </c>
      <c r="H3049" s="15">
        <v>400</v>
      </c>
      <c r="I3049" s="163"/>
      <c r="J3049" s="15">
        <v>22</v>
      </c>
      <c r="K3049" s="163"/>
      <c r="L3049" s="15"/>
      <c r="M3049" s="194">
        <v>2.1</v>
      </c>
      <c r="N3049" s="174" t="s">
        <v>962</v>
      </c>
    </row>
    <row r="3050" spans="1:14" x14ac:dyDescent="0.25">
      <c r="A3050" s="63" t="s">
        <v>960</v>
      </c>
      <c r="B3050" s="71" t="s">
        <v>988</v>
      </c>
      <c r="C3050" s="2">
        <v>4050300854069</v>
      </c>
      <c r="D3050" s="84"/>
      <c r="E3050" s="85"/>
      <c r="F3050" s="34" t="s">
        <v>1657</v>
      </c>
      <c r="G3050" s="161" t="str">
        <f>HYPERLINK("https://ledvance.com/pt/product-datasheet/7405/56013","Ficha Técnica")</f>
        <v>Ficha Técnica</v>
      </c>
      <c r="H3050" s="15">
        <v>200</v>
      </c>
      <c r="I3050" s="163"/>
      <c r="J3050" s="15">
        <v>22</v>
      </c>
      <c r="K3050" s="163"/>
      <c r="L3050" s="15"/>
      <c r="M3050" s="195">
        <v>8.5</v>
      </c>
      <c r="N3050" s="175" t="s">
        <v>964</v>
      </c>
    </row>
    <row r="3051" spans="1:14" x14ac:dyDescent="0.25">
      <c r="A3051" s="66" t="s">
        <v>960</v>
      </c>
      <c r="B3051" s="79" t="s">
        <v>989</v>
      </c>
      <c r="C3051" s="51"/>
      <c r="D3051" s="65"/>
      <c r="E3051" s="86"/>
      <c r="F3051" s="26"/>
      <c r="G3051" s="157"/>
      <c r="H3051" s="12"/>
      <c r="I3051" s="62"/>
      <c r="J3051" s="27"/>
      <c r="K3051" s="62"/>
      <c r="L3051" s="12"/>
      <c r="M3051" s="191"/>
      <c r="N3051" s="130"/>
    </row>
    <row r="3052" spans="1:14" x14ac:dyDescent="0.25">
      <c r="A3052" s="63" t="s">
        <v>960</v>
      </c>
      <c r="B3052" s="71" t="s">
        <v>990</v>
      </c>
      <c r="C3052" s="2">
        <v>4050300487120</v>
      </c>
      <c r="D3052" s="84"/>
      <c r="E3052" s="85"/>
      <c r="F3052" s="34" t="s">
        <v>1657</v>
      </c>
      <c r="G3052" s="161" t="str">
        <f>HYPERLINK("https://ledvance.com/pt/product-datasheet/7236/92157","Ficha Técnica")</f>
        <v>Ficha Técnica</v>
      </c>
      <c r="H3052" s="15">
        <v>10</v>
      </c>
      <c r="I3052" s="163">
        <v>1100</v>
      </c>
      <c r="J3052" s="15">
        <v>18</v>
      </c>
      <c r="K3052" s="163"/>
      <c r="L3052" s="15"/>
      <c r="M3052" s="195">
        <v>3.6</v>
      </c>
      <c r="N3052" s="175" t="s">
        <v>964</v>
      </c>
    </row>
    <row r="3053" spans="1:14" x14ac:dyDescent="0.25">
      <c r="A3053" s="63" t="s">
        <v>960</v>
      </c>
      <c r="B3053" s="71" t="s">
        <v>991</v>
      </c>
      <c r="C3053" s="2">
        <v>4050300342283</v>
      </c>
      <c r="D3053" s="84"/>
      <c r="E3053" s="85"/>
      <c r="F3053" s="34" t="s">
        <v>1657</v>
      </c>
      <c r="G3053" s="161" t="str">
        <f>HYPERLINK("https://ledvance.com/pt/product-datasheet/7231/89291","Ficha Técnica")</f>
        <v>Ficha Técnica</v>
      </c>
      <c r="H3053" s="15">
        <v>10</v>
      </c>
      <c r="I3053" s="163">
        <v>1750</v>
      </c>
      <c r="J3053" s="15">
        <v>26</v>
      </c>
      <c r="K3053" s="163"/>
      <c r="L3053" s="15"/>
      <c r="M3053" s="195">
        <v>4.9000000000000004</v>
      </c>
      <c r="N3053" s="175" t="s">
        <v>964</v>
      </c>
    </row>
    <row r="3054" spans="1:14" x14ac:dyDescent="0.25">
      <c r="A3054" s="63" t="s">
        <v>960</v>
      </c>
      <c r="B3054" s="71" t="s">
        <v>992</v>
      </c>
      <c r="C3054" s="2">
        <v>4050300298917</v>
      </c>
      <c r="D3054" s="84"/>
      <c r="E3054" s="85"/>
      <c r="F3054" s="34" t="s">
        <v>1657</v>
      </c>
      <c r="G3054" s="161" t="str">
        <f>HYPERLINK("https://ledvance.com/pt/product-datasheet/7245/108157","Ficha Técnica")</f>
        <v>Ficha Técnica</v>
      </c>
      <c r="H3054" s="15">
        <v>10</v>
      </c>
      <c r="I3054" s="163">
        <v>4320</v>
      </c>
      <c r="J3054" s="15">
        <v>55</v>
      </c>
      <c r="K3054" s="163"/>
      <c r="L3054" s="15"/>
      <c r="M3054" s="195">
        <v>12.8</v>
      </c>
      <c r="N3054" s="175" t="s">
        <v>964</v>
      </c>
    </row>
    <row r="3055" spans="1:14" x14ac:dyDescent="0.25">
      <c r="A3055" s="63" t="s">
        <v>960</v>
      </c>
      <c r="B3055" s="71" t="s">
        <v>993</v>
      </c>
      <c r="C3055" s="2">
        <v>4050300333588</v>
      </c>
      <c r="D3055" s="84"/>
      <c r="E3055" s="85"/>
      <c r="F3055" s="34" t="s">
        <v>1657</v>
      </c>
      <c r="G3055" s="161" t="str">
        <f>HYPERLINK("https://ledvance.com/pt/product-datasheet/7251/92621","Ficha Técnica")</f>
        <v>Ficha Técnica</v>
      </c>
      <c r="H3055" s="15">
        <v>10</v>
      </c>
      <c r="I3055" s="163">
        <v>1700</v>
      </c>
      <c r="J3055" s="15">
        <v>24</v>
      </c>
      <c r="K3055" s="163"/>
      <c r="L3055" s="15"/>
      <c r="M3055" s="195">
        <v>24.2</v>
      </c>
      <c r="N3055" s="175" t="s">
        <v>964</v>
      </c>
    </row>
    <row r="3056" spans="1:14" x14ac:dyDescent="0.25">
      <c r="A3056" s="66" t="s">
        <v>960</v>
      </c>
      <c r="B3056" s="79" t="s">
        <v>994</v>
      </c>
      <c r="C3056" s="51"/>
      <c r="D3056" s="65"/>
      <c r="E3056" s="86"/>
      <c r="F3056" s="12"/>
      <c r="G3056" s="157"/>
      <c r="H3056" s="12"/>
      <c r="I3056" s="62"/>
      <c r="J3056" s="27"/>
      <c r="K3056" s="62"/>
      <c r="L3056" s="12"/>
      <c r="M3056" s="191"/>
      <c r="N3056" s="130"/>
    </row>
    <row r="3057" spans="1:14" x14ac:dyDescent="0.25">
      <c r="A3057" s="63" t="s">
        <v>960</v>
      </c>
      <c r="B3057" s="71" t="s">
        <v>995</v>
      </c>
      <c r="C3057" s="2">
        <v>4008321591944</v>
      </c>
      <c r="D3057" s="84"/>
      <c r="E3057" s="85"/>
      <c r="F3057" s="34" t="s">
        <v>1657</v>
      </c>
      <c r="G3057" s="161" t="str">
        <f>HYPERLINK("https://ledvance.com/pt/product-datasheet/7287/89183","Ficha Técnica")</f>
        <v>Ficha Técnica</v>
      </c>
      <c r="H3057" s="15">
        <v>10</v>
      </c>
      <c r="I3057" s="163">
        <v>90000</v>
      </c>
      <c r="J3057" s="15">
        <v>1000</v>
      </c>
      <c r="K3057" s="163"/>
      <c r="L3057" s="15"/>
      <c r="M3057" s="195">
        <v>636.6</v>
      </c>
      <c r="N3057" s="175" t="s">
        <v>964</v>
      </c>
    </row>
    <row r="3058" spans="1:14" x14ac:dyDescent="0.25">
      <c r="A3058" s="63" t="s">
        <v>960</v>
      </c>
      <c r="B3058" s="71" t="s">
        <v>996</v>
      </c>
      <c r="C3058" s="2">
        <v>4008321525475</v>
      </c>
      <c r="D3058" s="84"/>
      <c r="E3058" s="85"/>
      <c r="F3058" s="34" t="s">
        <v>1657</v>
      </c>
      <c r="G3058" s="161" t="str">
        <f>HYPERLINK("https://ledvance.com/pt/product-datasheet/7287/105721","Ficha Técnica")</f>
        <v>Ficha Técnica</v>
      </c>
      <c r="H3058" s="15">
        <v>10</v>
      </c>
      <c r="I3058" s="163">
        <v>90000</v>
      </c>
      <c r="J3058" s="15">
        <v>1000</v>
      </c>
      <c r="K3058" s="163"/>
      <c r="L3058" s="15"/>
      <c r="M3058" s="195">
        <v>636.6</v>
      </c>
      <c r="N3058" s="175" t="s">
        <v>964</v>
      </c>
    </row>
    <row r="3059" spans="1:14" x14ac:dyDescent="0.25">
      <c r="A3059" s="63" t="s">
        <v>960</v>
      </c>
      <c r="B3059" s="71" t="s">
        <v>997</v>
      </c>
      <c r="C3059" s="2">
        <v>4008321525499</v>
      </c>
      <c r="D3059" s="84"/>
      <c r="E3059" s="85"/>
      <c r="F3059" s="34" t="s">
        <v>1657</v>
      </c>
      <c r="G3059" s="161" t="str">
        <f>HYPERLINK("https://ledvance.com/pt/product-datasheet/7287/89225","Ficha Técnica")</f>
        <v>Ficha Técnica</v>
      </c>
      <c r="H3059" s="15">
        <v>10</v>
      </c>
      <c r="I3059" s="163">
        <v>215000</v>
      </c>
      <c r="J3059" s="15">
        <v>2000</v>
      </c>
      <c r="K3059" s="163"/>
      <c r="L3059" s="15"/>
      <c r="M3059" s="195">
        <v>639.70000000000005</v>
      </c>
      <c r="N3059" s="175" t="s">
        <v>964</v>
      </c>
    </row>
    <row r="3060" spans="1:14" x14ac:dyDescent="0.25">
      <c r="A3060" s="63" t="s">
        <v>960</v>
      </c>
      <c r="B3060" s="71" t="s">
        <v>998</v>
      </c>
      <c r="C3060" s="2">
        <v>4050300271682</v>
      </c>
      <c r="D3060" s="84"/>
      <c r="E3060" s="85"/>
      <c r="F3060" s="34" t="s">
        <v>1657</v>
      </c>
      <c r="G3060" s="161" t="str">
        <f>HYPERLINK("https://ledvance.com/pt/product-datasheet/7287/87280","Ficha Técnica")</f>
        <v>Ficha Técnica</v>
      </c>
      <c r="H3060" s="15">
        <v>10</v>
      </c>
      <c r="I3060" s="163">
        <v>210000</v>
      </c>
      <c r="J3060" s="15">
        <v>2000</v>
      </c>
      <c r="K3060" s="163"/>
      <c r="L3060" s="15"/>
      <c r="M3060" s="195">
        <v>639.70000000000005</v>
      </c>
      <c r="N3060" s="175" t="s">
        <v>964</v>
      </c>
    </row>
    <row r="3061" spans="1:14" x14ac:dyDescent="0.25">
      <c r="A3061" s="63" t="s">
        <v>960</v>
      </c>
      <c r="B3061" s="71" t="s">
        <v>999</v>
      </c>
      <c r="C3061" s="2">
        <v>4008321338310</v>
      </c>
      <c r="D3061" s="84"/>
      <c r="E3061" s="85"/>
      <c r="F3061" s="34" t="s">
        <v>1657</v>
      </c>
      <c r="G3061" s="161" t="str">
        <f>HYPERLINK("https://ledvance.com/pt/product-datasheet/7287/102001","Ficha Técnica")</f>
        <v>Ficha Técnica</v>
      </c>
      <c r="H3061" s="15">
        <v>10</v>
      </c>
      <c r="I3061" s="163">
        <v>230000</v>
      </c>
      <c r="J3061" s="15">
        <v>2000</v>
      </c>
      <c r="K3061" s="163"/>
      <c r="L3061" s="15"/>
      <c r="M3061" s="195">
        <v>757.7</v>
      </c>
      <c r="N3061" s="175" t="s">
        <v>964</v>
      </c>
    </row>
    <row r="3062" spans="1:14" x14ac:dyDescent="0.25">
      <c r="A3062" s="63" t="s">
        <v>960</v>
      </c>
      <c r="B3062" s="71" t="s">
        <v>1000</v>
      </c>
      <c r="C3062" s="2">
        <v>4008321530660</v>
      </c>
      <c r="D3062" s="84"/>
      <c r="E3062" s="85"/>
      <c r="F3062" s="34" t="s">
        <v>1657</v>
      </c>
      <c r="G3062" s="161" t="str">
        <f>HYPERLINK("https://ledvance.com/pt/product-datasheet/7288/89201","Ficha Técnica")</f>
        <v>Ficha Técnica</v>
      </c>
      <c r="H3062" s="15">
        <v>10</v>
      </c>
      <c r="I3062" s="163">
        <v>230000</v>
      </c>
      <c r="J3062" s="15">
        <v>2000</v>
      </c>
      <c r="K3062" s="163"/>
      <c r="L3062" s="15"/>
      <c r="M3062" s="195">
        <v>639.79999999999995</v>
      </c>
      <c r="N3062" s="175" t="s">
        <v>964</v>
      </c>
    </row>
    <row r="3063" spans="1:14" x14ac:dyDescent="0.25">
      <c r="A3063" s="63" t="s">
        <v>960</v>
      </c>
      <c r="B3063" s="71" t="s">
        <v>1001</v>
      </c>
      <c r="C3063" s="2">
        <v>4008321527035</v>
      </c>
      <c r="D3063" s="84"/>
      <c r="E3063" s="85"/>
      <c r="F3063" s="34" t="s">
        <v>1657</v>
      </c>
      <c r="G3063" s="161" t="str">
        <f>HYPERLINK("https://ledvance.com/pt/product-datasheet/7290/105708","Ficha Técnica")</f>
        <v>Ficha Técnica</v>
      </c>
      <c r="H3063" s="15">
        <v>6</v>
      </c>
      <c r="I3063" s="163">
        <v>85000</v>
      </c>
      <c r="J3063" s="15">
        <v>1000</v>
      </c>
      <c r="K3063" s="163"/>
      <c r="L3063" s="15"/>
      <c r="M3063" s="195">
        <v>515.29999999999995</v>
      </c>
      <c r="N3063" s="175" t="s">
        <v>964</v>
      </c>
    </row>
    <row r="3064" spans="1:14" x14ac:dyDescent="0.25">
      <c r="A3064" s="63" t="s">
        <v>960</v>
      </c>
      <c r="B3064" s="71" t="s">
        <v>1002</v>
      </c>
      <c r="C3064" s="2">
        <v>4058075388413</v>
      </c>
      <c r="D3064" s="84"/>
      <c r="E3064" s="85"/>
      <c r="F3064" s="34" t="s">
        <v>1657</v>
      </c>
      <c r="G3064" s="161" t="str">
        <f>HYPERLINK("https://ledvance.com/pt/product-datasheet/7290/116564","Ficha Técnica")</f>
        <v>Ficha Técnica</v>
      </c>
      <c r="H3064" s="15">
        <v>6</v>
      </c>
      <c r="I3064" s="163">
        <v>110000</v>
      </c>
      <c r="J3064" s="15">
        <v>1000</v>
      </c>
      <c r="K3064" s="163"/>
      <c r="L3064" s="15"/>
      <c r="M3064" s="195">
        <v>515.29999999999995</v>
      </c>
      <c r="N3064" s="175" t="s">
        <v>964</v>
      </c>
    </row>
    <row r="3065" spans="1:14" x14ac:dyDescent="0.25">
      <c r="A3065" s="63" t="s">
        <v>960</v>
      </c>
      <c r="B3065" s="71" t="s">
        <v>1003</v>
      </c>
      <c r="C3065" s="2">
        <v>4008321979063</v>
      </c>
      <c r="D3065" s="84"/>
      <c r="E3065" s="85"/>
      <c r="F3065" s="34" t="s">
        <v>1657</v>
      </c>
      <c r="G3065" s="161" t="str">
        <f>HYPERLINK("https://ledvance.com/pt/product-datasheet/7290/93509","Ficha Técnica")</f>
        <v>Ficha Técnica</v>
      </c>
      <c r="H3065" s="15">
        <v>4</v>
      </c>
      <c r="I3065" s="163">
        <v>245000</v>
      </c>
      <c r="J3065" s="15">
        <v>2000</v>
      </c>
      <c r="K3065" s="163"/>
      <c r="L3065" s="15"/>
      <c r="M3065" s="195">
        <v>458.5</v>
      </c>
      <c r="N3065" s="175" t="s">
        <v>964</v>
      </c>
    </row>
    <row r="3066" spans="1:14" x14ac:dyDescent="0.25">
      <c r="A3066" s="63" t="s">
        <v>960</v>
      </c>
      <c r="B3066" s="71" t="s">
        <v>1004</v>
      </c>
      <c r="C3066" s="2">
        <v>4008321979087</v>
      </c>
      <c r="D3066" s="84"/>
      <c r="E3066" s="85"/>
      <c r="F3066" s="34" t="s">
        <v>1657</v>
      </c>
      <c r="G3066" s="161" t="str">
        <f>HYPERLINK("https://ledvance.com/pt/product-datasheet/7290/93506","Ficha Técnica")</f>
        <v>Ficha Técnica</v>
      </c>
      <c r="H3066" s="15">
        <v>4</v>
      </c>
      <c r="I3066" s="163">
        <v>240000</v>
      </c>
      <c r="J3066" s="15">
        <v>2000</v>
      </c>
      <c r="K3066" s="163"/>
      <c r="L3066" s="15"/>
      <c r="M3066" s="195">
        <v>458.6</v>
      </c>
      <c r="N3066" s="175" t="s">
        <v>964</v>
      </c>
    </row>
    <row r="3067" spans="1:14" x14ac:dyDescent="0.25">
      <c r="A3067" s="63" t="s">
        <v>960</v>
      </c>
      <c r="B3067" s="71" t="s">
        <v>1005</v>
      </c>
      <c r="C3067" s="2">
        <v>4008321526809</v>
      </c>
      <c r="D3067" s="84"/>
      <c r="E3067" s="85"/>
      <c r="F3067" s="34" t="s">
        <v>1657</v>
      </c>
      <c r="G3067" s="161" t="str">
        <f>HYPERLINK("https://ledvance.com/pt/product-datasheet/7290/93515","Ficha Técnica")</f>
        <v>Ficha Técnica</v>
      </c>
      <c r="H3067" s="15">
        <v>4</v>
      </c>
      <c r="I3067" s="163">
        <v>180000</v>
      </c>
      <c r="J3067" s="15">
        <v>2000</v>
      </c>
      <c r="K3067" s="163"/>
      <c r="L3067" s="15"/>
      <c r="M3067" s="195">
        <v>512.6</v>
      </c>
      <c r="N3067" s="175" t="s">
        <v>964</v>
      </c>
    </row>
    <row r="3068" spans="1:14" x14ac:dyDescent="0.25">
      <c r="A3068" s="63" t="s">
        <v>960</v>
      </c>
      <c r="B3068" s="71" t="s">
        <v>1006</v>
      </c>
      <c r="C3068" s="2">
        <v>4008321665379</v>
      </c>
      <c r="D3068" s="84"/>
      <c r="E3068" s="85"/>
      <c r="F3068" s="34" t="s">
        <v>1657</v>
      </c>
      <c r="G3068" s="161" t="str">
        <f>HYPERLINK("https://ledvance.com/pt/product-datasheet/7290/88284","Ficha Técnica")</f>
        <v>Ficha Técnica</v>
      </c>
      <c r="H3068" s="15">
        <v>4</v>
      </c>
      <c r="I3068" s="163">
        <v>200000</v>
      </c>
      <c r="J3068" s="15">
        <v>2000</v>
      </c>
      <c r="K3068" s="163"/>
      <c r="L3068" s="15"/>
      <c r="M3068" s="195">
        <v>439.1</v>
      </c>
      <c r="N3068" s="175" t="s">
        <v>964</v>
      </c>
    </row>
    <row r="3069" spans="1:14" x14ac:dyDescent="0.25">
      <c r="A3069" s="63" t="s">
        <v>960</v>
      </c>
      <c r="B3069" s="71" t="s">
        <v>1007</v>
      </c>
      <c r="C3069" s="2">
        <v>4008321527011</v>
      </c>
      <c r="D3069" s="84"/>
      <c r="E3069" s="85"/>
      <c r="F3069" s="34" t="s">
        <v>1657</v>
      </c>
      <c r="G3069" s="161" t="str">
        <f>HYPERLINK("https://ledvance.com/pt/product-datasheet/7290/88290","Ficha Técnica")</f>
        <v>Ficha Técnica</v>
      </c>
      <c r="H3069" s="15">
        <v>4</v>
      </c>
      <c r="I3069" s="163">
        <v>180000</v>
      </c>
      <c r="J3069" s="15">
        <v>2000</v>
      </c>
      <c r="K3069" s="163"/>
      <c r="L3069" s="15"/>
      <c r="M3069" s="195">
        <v>439.2</v>
      </c>
      <c r="N3069" s="175" t="s">
        <v>964</v>
      </c>
    </row>
    <row r="3070" spans="1:14" x14ac:dyDescent="0.25">
      <c r="A3070" s="63" t="s">
        <v>960</v>
      </c>
      <c r="B3070" s="71" t="s">
        <v>1008</v>
      </c>
      <c r="C3070" s="2">
        <v>4058075039766</v>
      </c>
      <c r="D3070" s="84"/>
      <c r="E3070" s="85"/>
      <c r="F3070" s="34" t="s">
        <v>1657</v>
      </c>
      <c r="G3070" s="161" t="str">
        <f>HYPERLINK("https://ledvance.com/pt/product-datasheet/7291/92166","Ficha Técnica")</f>
        <v>Ficha Técnica</v>
      </c>
      <c r="H3070" s="15">
        <v>12</v>
      </c>
      <c r="I3070" s="163">
        <v>40000</v>
      </c>
      <c r="J3070" s="15">
        <v>440</v>
      </c>
      <c r="K3070" s="163"/>
      <c r="L3070" s="15"/>
      <c r="M3070" s="195">
        <v>107.7</v>
      </c>
      <c r="N3070" s="175" t="s">
        <v>964</v>
      </c>
    </row>
    <row r="3071" spans="1:14" x14ac:dyDescent="0.25">
      <c r="A3071" s="63" t="s">
        <v>960</v>
      </c>
      <c r="B3071" s="71" t="s">
        <v>1009</v>
      </c>
      <c r="C3071" s="2">
        <v>4058075039780</v>
      </c>
      <c r="D3071" s="84"/>
      <c r="E3071" s="85"/>
      <c r="F3071" s="34" t="s">
        <v>1657</v>
      </c>
      <c r="G3071" s="161" t="str">
        <f>HYPERLINK("https://ledvance.com/pt/product-datasheet/7296/89204","Ficha Técnica")</f>
        <v>Ficha Técnica</v>
      </c>
      <c r="H3071" s="15">
        <v>12</v>
      </c>
      <c r="I3071" s="163">
        <v>42000</v>
      </c>
      <c r="J3071" s="15">
        <v>440</v>
      </c>
      <c r="K3071" s="163"/>
      <c r="L3071" s="15"/>
      <c r="M3071" s="195">
        <v>122.9</v>
      </c>
      <c r="N3071" s="175" t="s">
        <v>964</v>
      </c>
    </row>
    <row r="3072" spans="1:14" x14ac:dyDescent="0.25">
      <c r="A3072" s="63" t="s">
        <v>960</v>
      </c>
      <c r="B3072" s="71" t="s">
        <v>1010</v>
      </c>
      <c r="C3072" s="2">
        <v>4008321677907</v>
      </c>
      <c r="D3072" s="84"/>
      <c r="E3072" s="85"/>
      <c r="F3072" s="34" t="s">
        <v>1657</v>
      </c>
      <c r="G3072" s="161" t="str">
        <f>HYPERLINK("https://ledvance.com/pt/product-datasheet/7297/93737","Ficha Técnica")</f>
        <v>Ficha Técnica</v>
      </c>
      <c r="H3072" s="15">
        <v>12</v>
      </c>
      <c r="I3072" s="163">
        <v>18000</v>
      </c>
      <c r="J3072" s="15">
        <v>250</v>
      </c>
      <c r="K3072" s="163"/>
      <c r="L3072" s="15"/>
      <c r="M3072" s="195">
        <v>55.8</v>
      </c>
      <c r="N3072" s="175" t="s">
        <v>964</v>
      </c>
    </row>
    <row r="3073" spans="1:14" x14ac:dyDescent="0.25">
      <c r="A3073" s="63" t="s">
        <v>960</v>
      </c>
      <c r="B3073" s="71" t="s">
        <v>1011</v>
      </c>
      <c r="C3073" s="2">
        <v>4058075039803</v>
      </c>
      <c r="D3073" s="84"/>
      <c r="E3073" s="85"/>
      <c r="F3073" s="34" t="s">
        <v>1657</v>
      </c>
      <c r="G3073" s="161" t="str">
        <f>HYPERLINK("https://ledvance.com/pt/product-datasheet/7297/89210","Ficha Técnica")</f>
        <v>Ficha Técnica</v>
      </c>
      <c r="H3073" s="15">
        <v>12</v>
      </c>
      <c r="I3073" s="163">
        <v>40000</v>
      </c>
      <c r="J3073" s="15">
        <v>440</v>
      </c>
      <c r="K3073" s="163"/>
      <c r="L3073" s="15"/>
      <c r="M3073" s="195">
        <v>122.9</v>
      </c>
      <c r="N3073" s="175" t="s">
        <v>964</v>
      </c>
    </row>
    <row r="3074" spans="1:14" x14ac:dyDescent="0.25">
      <c r="A3074" s="63" t="s">
        <v>960</v>
      </c>
      <c r="B3074" s="71" t="s">
        <v>1012</v>
      </c>
      <c r="C3074" s="2">
        <v>4008321528261</v>
      </c>
      <c r="D3074" s="84"/>
      <c r="E3074" s="85"/>
      <c r="F3074" s="34" t="s">
        <v>1657</v>
      </c>
      <c r="G3074" s="161" t="str">
        <f>HYPERLINK("https://ledvance.com/pt/product-datasheet/189786/89216","Ficha Técnica")</f>
        <v>Ficha Técnica</v>
      </c>
      <c r="H3074" s="15">
        <v>6</v>
      </c>
      <c r="I3074" s="163">
        <v>100000</v>
      </c>
      <c r="J3074" s="15">
        <v>1000</v>
      </c>
      <c r="K3074" s="163"/>
      <c r="L3074" s="15"/>
      <c r="M3074" s="195">
        <v>494</v>
      </c>
      <c r="N3074" s="175" t="s">
        <v>964</v>
      </c>
    </row>
    <row r="3075" spans="1:14" x14ac:dyDescent="0.25">
      <c r="A3075" s="63" t="s">
        <v>960</v>
      </c>
      <c r="B3075" s="71" t="s">
        <v>3897</v>
      </c>
      <c r="C3075" s="2">
        <v>4008321356024</v>
      </c>
      <c r="D3075" s="84"/>
      <c r="E3075" s="85"/>
      <c r="F3075" s="34" t="s">
        <v>1657</v>
      </c>
      <c r="G3075" s="161" t="str">
        <f>HYPERLINK("https://ledvance.com/pt/product-datasheet/7307/46125","Ficha Técnica")</f>
        <v>Ficha Técnica</v>
      </c>
      <c r="H3075" s="15">
        <v>24</v>
      </c>
      <c r="I3075" s="163">
        <v>4000</v>
      </c>
      <c r="J3075" s="15">
        <v>50</v>
      </c>
      <c r="K3075" s="163"/>
      <c r="L3075" s="15"/>
      <c r="M3075" s="194">
        <v>28.3</v>
      </c>
      <c r="N3075" s="174" t="s">
        <v>962</v>
      </c>
    </row>
    <row r="3076" spans="1:14" x14ac:dyDescent="0.25">
      <c r="A3076" s="63" t="s">
        <v>960</v>
      </c>
      <c r="B3076" s="71" t="s">
        <v>3898</v>
      </c>
      <c r="C3076" s="2">
        <v>4008321356048</v>
      </c>
      <c r="D3076" s="84"/>
      <c r="E3076" s="85"/>
      <c r="F3076" s="34" t="s">
        <v>1657</v>
      </c>
      <c r="G3076" s="161" t="str">
        <f>HYPERLINK("https://ledvance.com/pt/product-datasheet/7307/111548","Ficha Técnica")</f>
        <v>Ficha Técnica</v>
      </c>
      <c r="H3076" s="15">
        <v>24</v>
      </c>
      <c r="I3076" s="163">
        <v>6600</v>
      </c>
      <c r="J3076" s="15">
        <v>70</v>
      </c>
      <c r="K3076" s="163"/>
      <c r="L3076" s="15"/>
      <c r="M3076" s="194">
        <v>28.3</v>
      </c>
      <c r="N3076" s="174" t="s">
        <v>962</v>
      </c>
    </row>
    <row r="3077" spans="1:14" x14ac:dyDescent="0.25">
      <c r="A3077" s="63" t="s">
        <v>960</v>
      </c>
      <c r="B3077" s="71" t="s">
        <v>3899</v>
      </c>
      <c r="C3077" s="2">
        <v>4050300015774</v>
      </c>
      <c r="D3077" s="84"/>
      <c r="E3077" s="85"/>
      <c r="F3077" s="34" t="s">
        <v>1657</v>
      </c>
      <c r="G3077" s="161" t="str">
        <f>HYPERLINK("https://ledvance.com/pt/product-datasheet/7307/70892","Ficha Técnica")</f>
        <v>Ficha Técnica</v>
      </c>
      <c r="H3077" s="15">
        <v>12</v>
      </c>
      <c r="I3077" s="163">
        <v>10100</v>
      </c>
      <c r="J3077" s="15">
        <v>100</v>
      </c>
      <c r="K3077" s="163"/>
      <c r="L3077" s="15"/>
      <c r="M3077" s="194">
        <v>37.1</v>
      </c>
      <c r="N3077" s="174" t="s">
        <v>962</v>
      </c>
    </row>
    <row r="3078" spans="1:14" x14ac:dyDescent="0.25">
      <c r="A3078" s="63" t="s">
        <v>960</v>
      </c>
      <c r="B3078" s="71" t="s">
        <v>3900</v>
      </c>
      <c r="C3078" s="2">
        <v>4052899418226</v>
      </c>
      <c r="D3078" s="84"/>
      <c r="E3078" s="85"/>
      <c r="F3078" s="34" t="s">
        <v>1657</v>
      </c>
      <c r="G3078" s="161" t="str">
        <f>HYPERLINK("https://ledvance.com/pt/product-datasheet/7307/83131","Ficha Técnica")</f>
        <v>Ficha Técnica</v>
      </c>
      <c r="H3078" s="15">
        <v>12</v>
      </c>
      <c r="I3078" s="163">
        <v>17000</v>
      </c>
      <c r="J3078" s="15">
        <v>150</v>
      </c>
      <c r="K3078" s="163"/>
      <c r="L3078" s="15"/>
      <c r="M3078" s="194">
        <v>37.4</v>
      </c>
      <c r="N3078" s="174" t="s">
        <v>962</v>
      </c>
    </row>
    <row r="3079" spans="1:14" x14ac:dyDescent="0.25">
      <c r="A3079" s="63" t="s">
        <v>960</v>
      </c>
      <c r="B3079" s="71" t="s">
        <v>3901</v>
      </c>
      <c r="C3079" s="2">
        <v>4050300024387</v>
      </c>
      <c r="D3079" s="84"/>
      <c r="E3079" s="85"/>
      <c r="F3079" s="34" t="s">
        <v>1657</v>
      </c>
      <c r="G3079" s="161" t="str">
        <f>HYPERLINK("https://ledvance.com/pt/product-datasheet/7307/103801","Ficha Técnica")</f>
        <v>Ficha Técnica</v>
      </c>
      <c r="H3079" s="15">
        <v>12</v>
      </c>
      <c r="I3079" s="163">
        <v>31600</v>
      </c>
      <c r="J3079" s="15">
        <v>250</v>
      </c>
      <c r="K3079" s="163"/>
      <c r="L3079" s="15"/>
      <c r="M3079" s="194">
        <v>52</v>
      </c>
      <c r="N3079" s="174" t="s">
        <v>962</v>
      </c>
    </row>
    <row r="3080" spans="1:14" x14ac:dyDescent="0.25">
      <c r="A3080" s="63" t="s">
        <v>960</v>
      </c>
      <c r="B3080" s="71" t="s">
        <v>3902</v>
      </c>
      <c r="C3080" s="2">
        <v>4050300024394</v>
      </c>
      <c r="D3080" s="84"/>
      <c r="E3080" s="85"/>
      <c r="F3080" s="34" t="s">
        <v>1657</v>
      </c>
      <c r="G3080" s="161" t="str">
        <f>HYPERLINK("https://ledvance.com/pt/product-datasheet/7307/30884","Ficha Técnica")</f>
        <v>Ficha Técnica</v>
      </c>
      <c r="H3080" s="15">
        <v>12</v>
      </c>
      <c r="I3080" s="163">
        <v>56500</v>
      </c>
      <c r="J3080" s="15">
        <v>400</v>
      </c>
      <c r="K3080" s="163"/>
      <c r="L3080" s="15"/>
      <c r="M3080" s="194">
        <v>67.8</v>
      </c>
      <c r="N3080" s="174" t="s">
        <v>962</v>
      </c>
    </row>
    <row r="3081" spans="1:14" x14ac:dyDescent="0.25">
      <c r="A3081" s="63" t="s">
        <v>960</v>
      </c>
      <c r="B3081" s="71" t="s">
        <v>1013</v>
      </c>
      <c r="C3081" s="2">
        <v>4050300015750</v>
      </c>
      <c r="D3081" s="84"/>
      <c r="E3081" s="85"/>
      <c r="F3081" s="34" t="s">
        <v>1657</v>
      </c>
      <c r="G3081" s="161" t="str">
        <f>HYPERLINK("https://ledvance.com/pt/product-datasheet/7310/85384","Ficha Técnica")</f>
        <v>Ficha Técnica</v>
      </c>
      <c r="H3081" s="15">
        <v>24</v>
      </c>
      <c r="I3081" s="163">
        <v>3700</v>
      </c>
      <c r="J3081" s="15">
        <v>50</v>
      </c>
      <c r="K3081" s="163"/>
      <c r="L3081" s="15"/>
      <c r="M3081" s="194">
        <v>32.1</v>
      </c>
      <c r="N3081" s="174" t="s">
        <v>962</v>
      </c>
    </row>
    <row r="3082" spans="1:14" x14ac:dyDescent="0.25">
      <c r="A3082" s="63" t="s">
        <v>960</v>
      </c>
      <c r="B3082" s="71" t="s">
        <v>1014</v>
      </c>
      <c r="C3082" s="2">
        <v>4050300015767</v>
      </c>
      <c r="D3082" s="84"/>
      <c r="E3082" s="85"/>
      <c r="F3082" s="34" t="s">
        <v>1657</v>
      </c>
      <c r="G3082" s="161" t="str">
        <f>HYPERLINK("https://ledvance.com/pt/product-datasheet/7310/50111","Ficha Técnica")</f>
        <v>Ficha Técnica</v>
      </c>
      <c r="H3082" s="15">
        <v>24</v>
      </c>
      <c r="I3082" s="163">
        <v>5900</v>
      </c>
      <c r="J3082" s="15">
        <v>70</v>
      </c>
      <c r="K3082" s="163"/>
      <c r="L3082" s="15"/>
      <c r="M3082" s="194">
        <v>32.1</v>
      </c>
      <c r="N3082" s="174" t="s">
        <v>962</v>
      </c>
    </row>
    <row r="3083" spans="1:14" x14ac:dyDescent="0.25">
      <c r="A3083" s="63" t="s">
        <v>960</v>
      </c>
      <c r="B3083" s="71" t="s">
        <v>1015</v>
      </c>
      <c r="C3083" s="2">
        <v>4050300015583</v>
      </c>
      <c r="D3083" s="84"/>
      <c r="E3083" s="85"/>
      <c r="F3083" s="34" t="s">
        <v>1657</v>
      </c>
      <c r="G3083" s="161" t="str">
        <f>HYPERLINK("https://ledvance.com/pt/product-datasheet/7311/107756","Ficha Técnica")</f>
        <v>Ficha Técnica</v>
      </c>
      <c r="H3083" s="15">
        <v>24</v>
      </c>
      <c r="I3083" s="163">
        <v>3700</v>
      </c>
      <c r="J3083" s="15">
        <v>50</v>
      </c>
      <c r="K3083" s="163"/>
      <c r="L3083" s="15"/>
      <c r="M3083" s="194">
        <v>40.200000000000003</v>
      </c>
      <c r="N3083" s="174" t="s">
        <v>962</v>
      </c>
    </row>
    <row r="3084" spans="1:14" x14ac:dyDescent="0.25">
      <c r="A3084" s="63" t="s">
        <v>960</v>
      </c>
      <c r="B3084" s="71" t="s">
        <v>1016</v>
      </c>
      <c r="C3084" s="2">
        <v>4050300015590</v>
      </c>
      <c r="D3084" s="84"/>
      <c r="E3084" s="85"/>
      <c r="F3084" s="34" t="s">
        <v>1657</v>
      </c>
      <c r="G3084" s="161" t="str">
        <f>HYPERLINK("https://ledvance.com/pt/product-datasheet/7311/107762","Ficha Técnica")</f>
        <v>Ficha Técnica</v>
      </c>
      <c r="H3084" s="15">
        <v>24</v>
      </c>
      <c r="I3084" s="163">
        <v>5900</v>
      </c>
      <c r="J3084" s="15">
        <v>70</v>
      </c>
      <c r="K3084" s="163"/>
      <c r="L3084" s="15"/>
      <c r="M3084" s="194">
        <v>40.200000000000003</v>
      </c>
      <c r="N3084" s="174" t="s">
        <v>962</v>
      </c>
    </row>
    <row r="3085" spans="1:14" x14ac:dyDescent="0.25">
      <c r="A3085" s="63" t="s">
        <v>960</v>
      </c>
      <c r="B3085" s="71" t="s">
        <v>3903</v>
      </c>
      <c r="C3085" s="2">
        <v>4008321345462</v>
      </c>
      <c r="D3085" s="84"/>
      <c r="E3085" s="85"/>
      <c r="F3085" s="34" t="s">
        <v>1657</v>
      </c>
      <c r="G3085" s="161" t="str">
        <f>HYPERLINK("https://ledvance.com/pt/product-datasheet/7312/90607","Ficha Técnica")</f>
        <v>Ficha Técnica</v>
      </c>
      <c r="H3085" s="15">
        <v>24</v>
      </c>
      <c r="I3085" s="163">
        <v>5400</v>
      </c>
      <c r="J3085" s="15">
        <v>68</v>
      </c>
      <c r="K3085" s="163"/>
      <c r="L3085" s="15"/>
      <c r="M3085" s="194">
        <v>39.1</v>
      </c>
      <c r="N3085" s="174" t="s">
        <v>962</v>
      </c>
    </row>
    <row r="3086" spans="1:14" x14ac:dyDescent="0.25">
      <c r="A3086" s="63" t="s">
        <v>960</v>
      </c>
      <c r="B3086" s="71" t="s">
        <v>3904</v>
      </c>
      <c r="C3086" s="2">
        <v>4052899415379</v>
      </c>
      <c r="D3086" s="84"/>
      <c r="E3086" s="85"/>
      <c r="F3086" s="34" t="s">
        <v>1657</v>
      </c>
      <c r="G3086" s="161" t="str">
        <f>HYPERLINK("https://ledvance.com/pt/product-datasheet/7315/30996","Ficha Técnica")</f>
        <v>Ficha Técnica</v>
      </c>
      <c r="H3086" s="15">
        <v>12</v>
      </c>
      <c r="I3086" s="163">
        <v>4200</v>
      </c>
      <c r="J3086" s="15">
        <v>50</v>
      </c>
      <c r="K3086" s="163"/>
      <c r="L3086" s="15"/>
      <c r="M3086" s="194">
        <v>29.2</v>
      </c>
      <c r="N3086" s="174" t="s">
        <v>962</v>
      </c>
    </row>
    <row r="3087" spans="1:14" x14ac:dyDescent="0.25">
      <c r="A3087" s="63" t="s">
        <v>960</v>
      </c>
      <c r="B3087" s="71" t="s">
        <v>3905</v>
      </c>
      <c r="C3087" s="2">
        <v>4052899415416</v>
      </c>
      <c r="D3087" s="84"/>
      <c r="E3087" s="85"/>
      <c r="F3087" s="34" t="s">
        <v>1657</v>
      </c>
      <c r="G3087" s="161" t="str">
        <f>HYPERLINK("https://ledvance.com/pt/product-datasheet/7315/44617","Ficha Técnica")</f>
        <v>Ficha Técnica</v>
      </c>
      <c r="H3087" s="15">
        <v>12</v>
      </c>
      <c r="I3087" s="163">
        <v>6400</v>
      </c>
      <c r="J3087" s="15">
        <v>70</v>
      </c>
      <c r="K3087" s="163"/>
      <c r="L3087" s="15"/>
      <c r="M3087" s="194">
        <v>29.2</v>
      </c>
      <c r="N3087" s="174" t="s">
        <v>962</v>
      </c>
    </row>
    <row r="3088" spans="1:14" x14ac:dyDescent="0.25">
      <c r="A3088" s="63" t="s">
        <v>960</v>
      </c>
      <c r="B3088" s="71" t="s">
        <v>3906</v>
      </c>
      <c r="C3088" s="2">
        <v>4050300015743</v>
      </c>
      <c r="D3088" s="84"/>
      <c r="E3088" s="85"/>
      <c r="F3088" s="34" t="s">
        <v>1657</v>
      </c>
      <c r="G3088" s="161" t="str">
        <f>HYPERLINK("https://ledvance.com/pt/product-datasheet/7315/88921","Ficha Técnica")</f>
        <v>Ficha Técnica</v>
      </c>
      <c r="H3088" s="15">
        <v>12</v>
      </c>
      <c r="I3088" s="163">
        <v>10300</v>
      </c>
      <c r="J3088" s="15">
        <v>100</v>
      </c>
      <c r="K3088" s="163"/>
      <c r="L3088" s="15"/>
      <c r="M3088" s="194">
        <v>30.2</v>
      </c>
      <c r="N3088" s="174" t="s">
        <v>962</v>
      </c>
    </row>
    <row r="3089" spans="1:14" x14ac:dyDescent="0.25">
      <c r="A3089" s="63" t="s">
        <v>960</v>
      </c>
      <c r="B3089" s="71" t="s">
        <v>3907</v>
      </c>
      <c r="C3089" s="2">
        <v>4050300024400</v>
      </c>
      <c r="D3089" s="84"/>
      <c r="E3089" s="85"/>
      <c r="F3089" s="34" t="s">
        <v>1657</v>
      </c>
      <c r="G3089" s="161" t="str">
        <f>HYPERLINK("https://ledvance.com/pt/product-datasheet/7315/88927","Ficha Técnica")</f>
        <v>Ficha Técnica</v>
      </c>
      <c r="H3089" s="15">
        <v>12</v>
      </c>
      <c r="I3089" s="163">
        <v>17500</v>
      </c>
      <c r="J3089" s="15">
        <v>150</v>
      </c>
      <c r="K3089" s="163"/>
      <c r="L3089" s="15"/>
      <c r="M3089" s="194">
        <v>37.4</v>
      </c>
      <c r="N3089" s="174" t="s">
        <v>962</v>
      </c>
    </row>
    <row r="3090" spans="1:14" x14ac:dyDescent="0.25">
      <c r="A3090" s="63" t="s">
        <v>960</v>
      </c>
      <c r="B3090" s="71" t="s">
        <v>3908</v>
      </c>
      <c r="C3090" s="2">
        <v>4050300024417</v>
      </c>
      <c r="D3090" s="84"/>
      <c r="E3090" s="85"/>
      <c r="F3090" s="34" t="s">
        <v>1657</v>
      </c>
      <c r="G3090" s="161" t="str">
        <f>HYPERLINK("https://ledvance.com/pt/product-datasheet/7315/44654","Ficha Técnica")</f>
        <v>Ficha Técnica</v>
      </c>
      <c r="H3090" s="15">
        <v>12</v>
      </c>
      <c r="I3090" s="163">
        <v>33200</v>
      </c>
      <c r="J3090" s="15">
        <v>250</v>
      </c>
      <c r="K3090" s="163"/>
      <c r="L3090" s="15"/>
      <c r="M3090" s="194">
        <v>46.8</v>
      </c>
      <c r="N3090" s="174" t="s">
        <v>962</v>
      </c>
    </row>
    <row r="3091" spans="1:14" x14ac:dyDescent="0.25">
      <c r="A3091" s="63" t="s">
        <v>960</v>
      </c>
      <c r="B3091" s="71" t="s">
        <v>3909</v>
      </c>
      <c r="C3091" s="2">
        <v>4050300281179</v>
      </c>
      <c r="D3091" s="84"/>
      <c r="E3091" s="85"/>
      <c r="F3091" s="34" t="s">
        <v>1657</v>
      </c>
      <c r="G3091" s="161" t="str">
        <f>HYPERLINK("https://ledvance.com/pt/product-datasheet/7315/49813","Ficha Técnica")</f>
        <v>Ficha Técnica</v>
      </c>
      <c r="H3091" s="15">
        <v>12</v>
      </c>
      <c r="I3091" s="163">
        <v>56500</v>
      </c>
      <c r="J3091" s="15">
        <v>400</v>
      </c>
      <c r="K3091" s="163"/>
      <c r="L3091" s="15"/>
      <c r="M3091" s="194">
        <v>57.9</v>
      </c>
      <c r="N3091" s="174" t="s">
        <v>962</v>
      </c>
    </row>
    <row r="3092" spans="1:14" x14ac:dyDescent="0.25">
      <c r="A3092" s="63" t="s">
        <v>960</v>
      </c>
      <c r="B3092" s="71" t="s">
        <v>3910</v>
      </c>
      <c r="C3092" s="2">
        <v>4050300275772</v>
      </c>
      <c r="D3092" s="84"/>
      <c r="E3092" s="85"/>
      <c r="F3092" s="34" t="s">
        <v>1657</v>
      </c>
      <c r="G3092" s="161" t="str">
        <f>HYPERLINK("https://ledvance.com/pt/product-datasheet/189487/30874","Ficha Técnica")</f>
        <v>Ficha Técnica</v>
      </c>
      <c r="H3092" s="15">
        <v>12</v>
      </c>
      <c r="I3092" s="163">
        <v>90000</v>
      </c>
      <c r="J3092" s="15">
        <v>600</v>
      </c>
      <c r="K3092" s="163"/>
      <c r="L3092" s="15"/>
      <c r="M3092" s="194">
        <v>98.1</v>
      </c>
      <c r="N3092" s="174" t="s">
        <v>962</v>
      </c>
    </row>
    <row r="3093" spans="1:14" x14ac:dyDescent="0.25">
      <c r="A3093" s="63" t="s">
        <v>960</v>
      </c>
      <c r="B3093" s="71" t="s">
        <v>3911</v>
      </c>
      <c r="C3093" s="2">
        <v>4050300251417</v>
      </c>
      <c r="D3093" s="84"/>
      <c r="E3093" s="85"/>
      <c r="F3093" s="34" t="s">
        <v>1657</v>
      </c>
      <c r="G3093" s="161" t="str">
        <f>HYPERLINK("https://ledvance.com/pt/product-datasheet/7318/85526","Ficha Técnica")</f>
        <v>Ficha Técnica</v>
      </c>
      <c r="H3093" s="15">
        <v>12</v>
      </c>
      <c r="I3093" s="163">
        <v>130000</v>
      </c>
      <c r="J3093" s="15">
        <v>1000</v>
      </c>
      <c r="K3093" s="163"/>
      <c r="L3093" s="15"/>
      <c r="M3093" s="194">
        <v>231.3</v>
      </c>
      <c r="N3093" s="174" t="s">
        <v>962</v>
      </c>
    </row>
    <row r="3094" spans="1:14" x14ac:dyDescent="0.25">
      <c r="A3094" s="63" t="s">
        <v>960</v>
      </c>
      <c r="B3094" s="71" t="s">
        <v>3912</v>
      </c>
      <c r="C3094" s="2">
        <v>4008321284303</v>
      </c>
      <c r="D3094" s="84"/>
      <c r="E3094" s="85"/>
      <c r="F3094" s="34" t="s">
        <v>1657</v>
      </c>
      <c r="G3094" s="161" t="str">
        <f>HYPERLINK("https://ledvance.com/pt/product-datasheet/7322/30189","Ficha Técnica")</f>
        <v>Ficha Técnica</v>
      </c>
      <c r="H3094" s="15">
        <v>12</v>
      </c>
      <c r="I3094" s="163">
        <v>86500</v>
      </c>
      <c r="J3094" s="15">
        <v>600</v>
      </c>
      <c r="K3094" s="163"/>
      <c r="L3094" s="15"/>
      <c r="M3094" s="194">
        <v>87.8</v>
      </c>
      <c r="N3094" s="174" t="s">
        <v>962</v>
      </c>
    </row>
    <row r="3095" spans="1:14" x14ac:dyDescent="0.25">
      <c r="A3095" s="66" t="s">
        <v>960</v>
      </c>
      <c r="B3095" s="79" t="s">
        <v>1017</v>
      </c>
      <c r="C3095" s="51"/>
      <c r="D3095" s="65"/>
      <c r="E3095" s="86"/>
      <c r="F3095" s="12"/>
      <c r="G3095" s="157"/>
      <c r="H3095" s="12"/>
      <c r="I3095" s="62"/>
      <c r="J3095" s="27"/>
      <c r="K3095" s="62"/>
      <c r="L3095" s="12"/>
      <c r="M3095" s="191"/>
      <c r="N3095" s="130"/>
    </row>
    <row r="3096" spans="1:14" x14ac:dyDescent="0.25">
      <c r="A3096" s="63" t="s">
        <v>960</v>
      </c>
      <c r="B3096" s="71" t="s">
        <v>3913</v>
      </c>
      <c r="C3096" s="2">
        <v>4008321945273</v>
      </c>
      <c r="D3096" s="84"/>
      <c r="E3096" s="85"/>
      <c r="F3096" s="34" t="s">
        <v>1657</v>
      </c>
      <c r="G3096" s="161" t="str">
        <f>HYPERLINK("https://ledvance.com/pt/product-datasheet/7102/124302","Ficha Técnica")</f>
        <v>Ficha Técnica</v>
      </c>
      <c r="H3096" s="15">
        <v>20</v>
      </c>
      <c r="I3096" s="163">
        <v>235</v>
      </c>
      <c r="J3096" s="15">
        <v>20</v>
      </c>
      <c r="K3096" s="163"/>
      <c r="L3096" s="15"/>
      <c r="M3096" s="194">
        <v>6.2</v>
      </c>
      <c r="N3096" s="174" t="s">
        <v>962</v>
      </c>
    </row>
    <row r="3097" spans="1:14" x14ac:dyDescent="0.25">
      <c r="A3097" s="63" t="s">
        <v>960</v>
      </c>
      <c r="B3097" s="71" t="s">
        <v>3914</v>
      </c>
      <c r="C3097" s="2">
        <v>4008321208668</v>
      </c>
      <c r="D3097" s="84"/>
      <c r="E3097" s="85"/>
      <c r="F3097" s="34" t="s">
        <v>1657</v>
      </c>
      <c r="G3097" s="161" t="str">
        <f>HYPERLINK("https://ledvance.com/pt/product-datasheet/7102/105273","Ficha Técnica")</f>
        <v>Ficha Técnica</v>
      </c>
      <c r="H3097" s="15">
        <v>20</v>
      </c>
      <c r="I3097" s="163">
        <v>460</v>
      </c>
      <c r="J3097" s="15">
        <v>35</v>
      </c>
      <c r="K3097" s="163"/>
      <c r="L3097" s="15"/>
      <c r="M3097" s="194">
        <v>6.2</v>
      </c>
      <c r="N3097" s="174" t="s">
        <v>962</v>
      </c>
    </row>
    <row r="3098" spans="1:14" x14ac:dyDescent="0.25">
      <c r="A3098" s="63" t="s">
        <v>960</v>
      </c>
      <c r="B3098" s="71" t="s">
        <v>3915</v>
      </c>
      <c r="C3098" s="2">
        <v>4008321945334</v>
      </c>
      <c r="D3098" s="84"/>
      <c r="E3098" s="85"/>
      <c r="F3098" s="34" t="s">
        <v>1657</v>
      </c>
      <c r="G3098" s="161" t="str">
        <f>HYPERLINK("https://ledvance.com/pt/product-datasheet/7102/88740","Ficha Técnica")</f>
        <v>Ficha Técnica</v>
      </c>
      <c r="H3098" s="15">
        <v>16</v>
      </c>
      <c r="I3098" s="163">
        <v>740</v>
      </c>
      <c r="J3098" s="15">
        <v>50</v>
      </c>
      <c r="K3098" s="163"/>
      <c r="L3098" s="15"/>
      <c r="M3098" s="194">
        <v>6.2</v>
      </c>
      <c r="N3098" s="174" t="s">
        <v>962</v>
      </c>
    </row>
    <row r="3099" spans="1:14" x14ac:dyDescent="0.25">
      <c r="A3099" s="63" t="s">
        <v>960</v>
      </c>
      <c r="B3099" s="71" t="s">
        <v>3916</v>
      </c>
      <c r="C3099" s="2">
        <v>4008321945372</v>
      </c>
      <c r="D3099" s="84"/>
      <c r="E3099" s="85"/>
      <c r="F3099" s="34" t="s">
        <v>1657</v>
      </c>
      <c r="G3099" s="161" t="str">
        <f>HYPERLINK("https://ledvance.com/pt/product-datasheet/7102/88748","Ficha Técnica")</f>
        <v>Ficha Técnica</v>
      </c>
      <c r="H3099" s="15">
        <v>20</v>
      </c>
      <c r="I3099" s="163">
        <v>980</v>
      </c>
      <c r="J3099" s="15">
        <v>60</v>
      </c>
      <c r="K3099" s="163"/>
      <c r="L3099" s="15"/>
      <c r="M3099" s="194">
        <v>6.2</v>
      </c>
      <c r="N3099" s="174" t="s">
        <v>962</v>
      </c>
    </row>
    <row r="3100" spans="1:14" x14ac:dyDescent="0.25">
      <c r="A3100" s="63" t="s">
        <v>960</v>
      </c>
      <c r="B3100" s="71" t="s">
        <v>3917</v>
      </c>
      <c r="C3100" s="2">
        <v>4008321703552</v>
      </c>
      <c r="D3100" s="84"/>
      <c r="E3100" s="85"/>
      <c r="F3100" s="34" t="s">
        <v>1657</v>
      </c>
      <c r="G3100" s="161" t="str">
        <f>HYPERLINK("https://ledvance.com/pt/product-datasheet/7106/109415","Ficha Técnica")</f>
        <v>Ficha Técnica</v>
      </c>
      <c r="H3100" s="15">
        <v>20</v>
      </c>
      <c r="I3100" s="163">
        <v>260</v>
      </c>
      <c r="J3100" s="15">
        <v>25</v>
      </c>
      <c r="K3100" s="163"/>
      <c r="L3100" s="15">
        <v>2</v>
      </c>
      <c r="M3100" s="195">
        <v>7.3</v>
      </c>
      <c r="N3100" s="175" t="s">
        <v>964</v>
      </c>
    </row>
    <row r="3101" spans="1:14" x14ac:dyDescent="0.25">
      <c r="A3101" s="63" t="s">
        <v>960</v>
      </c>
      <c r="B3101" s="71" t="s">
        <v>3918</v>
      </c>
      <c r="C3101" s="2">
        <v>4008321703576</v>
      </c>
      <c r="D3101" s="84"/>
      <c r="E3101" s="85"/>
      <c r="F3101" s="34" t="s">
        <v>1657</v>
      </c>
      <c r="G3101" s="161" t="str">
        <f>HYPERLINK("https://ledvance.com/pt/product-datasheet/7106/109421","Ficha Técnica")</f>
        <v>Ficha Técnica</v>
      </c>
      <c r="H3101" s="15">
        <v>20</v>
      </c>
      <c r="I3101" s="163">
        <v>490</v>
      </c>
      <c r="J3101" s="15">
        <v>40</v>
      </c>
      <c r="K3101" s="163"/>
      <c r="L3101" s="15">
        <v>2</v>
      </c>
      <c r="M3101" s="195">
        <v>7.3</v>
      </c>
      <c r="N3101" s="175" t="s">
        <v>964</v>
      </c>
    </row>
    <row r="3102" spans="1:14" x14ac:dyDescent="0.25">
      <c r="A3102" s="63" t="s">
        <v>960</v>
      </c>
      <c r="B3102" s="71" t="s">
        <v>3919</v>
      </c>
      <c r="C3102" s="2">
        <v>4008321977595</v>
      </c>
      <c r="D3102" s="84"/>
      <c r="E3102" s="85"/>
      <c r="F3102" s="34" t="s">
        <v>1657</v>
      </c>
      <c r="G3102" s="161" t="str">
        <f>HYPERLINK("https://ledvance.com/pt/product-datasheet/7124/110555","Ficha Técnica")</f>
        <v>Ficha Técnica</v>
      </c>
      <c r="H3102" s="15">
        <v>20</v>
      </c>
      <c r="I3102" s="163">
        <v>700</v>
      </c>
      <c r="J3102" s="15">
        <v>48</v>
      </c>
      <c r="K3102" s="163"/>
      <c r="L3102" s="15"/>
      <c r="M3102" s="194">
        <v>13.5</v>
      </c>
      <c r="N3102" s="174" t="s">
        <v>962</v>
      </c>
    </row>
    <row r="3103" spans="1:14" x14ac:dyDescent="0.25">
      <c r="A3103" s="63" t="s">
        <v>960</v>
      </c>
      <c r="B3103" s="71" t="s">
        <v>3920</v>
      </c>
      <c r="C3103" s="2">
        <v>4008321928078</v>
      </c>
      <c r="D3103" s="84"/>
      <c r="E3103" s="85"/>
      <c r="F3103" s="34" t="s">
        <v>1657</v>
      </c>
      <c r="G3103" s="161" t="str">
        <f>HYPERLINK("https://ledvance.com/pt/product-datasheet/7124/93542","Ficha Técnica")</f>
        <v>Ficha Técnica</v>
      </c>
      <c r="H3103" s="15">
        <v>20</v>
      </c>
      <c r="I3103" s="163">
        <v>1385</v>
      </c>
      <c r="J3103" s="15">
        <v>80</v>
      </c>
      <c r="K3103" s="163"/>
      <c r="L3103" s="15"/>
      <c r="M3103" s="194">
        <v>13.5</v>
      </c>
      <c r="N3103" s="174" t="s">
        <v>962</v>
      </c>
    </row>
    <row r="3104" spans="1:14" x14ac:dyDescent="0.25">
      <c r="A3104" s="63" t="s">
        <v>960</v>
      </c>
      <c r="B3104" s="71" t="s">
        <v>3921</v>
      </c>
      <c r="C3104" s="2">
        <v>4008321928092</v>
      </c>
      <c r="D3104" s="84"/>
      <c r="E3104" s="85"/>
      <c r="F3104" s="34" t="s">
        <v>1657</v>
      </c>
      <c r="G3104" s="161" t="str">
        <f>HYPERLINK("https://ledvance.com/pt/product-datasheet/7124/91390","Ficha Técnica")</f>
        <v>Ficha Técnica</v>
      </c>
      <c r="H3104" s="15">
        <v>20</v>
      </c>
      <c r="I3104" s="163">
        <v>2245</v>
      </c>
      <c r="J3104" s="15">
        <v>120</v>
      </c>
      <c r="K3104" s="163"/>
      <c r="L3104" s="15"/>
      <c r="M3104" s="194">
        <v>13.5</v>
      </c>
      <c r="N3104" s="174" t="s">
        <v>962</v>
      </c>
    </row>
    <row r="3105" spans="1:14" x14ac:dyDescent="0.25">
      <c r="A3105" s="63" t="s">
        <v>960</v>
      </c>
      <c r="B3105" s="71" t="s">
        <v>3922</v>
      </c>
      <c r="C3105" s="2">
        <v>4008321977670</v>
      </c>
      <c r="D3105" s="84"/>
      <c r="E3105" s="85"/>
      <c r="F3105" s="34" t="s">
        <v>1657</v>
      </c>
      <c r="G3105" s="161" t="str">
        <f>HYPERLINK("https://ledvance.com/pt/product-datasheet/7124/106707","Ficha Técnica")</f>
        <v>Ficha Técnica</v>
      </c>
      <c r="H3105" s="15">
        <v>20</v>
      </c>
      <c r="I3105" s="163">
        <v>2245</v>
      </c>
      <c r="J3105" s="15">
        <v>120</v>
      </c>
      <c r="K3105" s="163"/>
      <c r="L3105" s="15"/>
      <c r="M3105" s="194">
        <v>13.5</v>
      </c>
      <c r="N3105" s="174" t="s">
        <v>962</v>
      </c>
    </row>
    <row r="3106" spans="1:14" x14ac:dyDescent="0.25">
      <c r="A3106" s="63" t="s">
        <v>960</v>
      </c>
      <c r="B3106" s="71" t="s">
        <v>3923</v>
      </c>
      <c r="C3106" s="2">
        <v>4050300004167</v>
      </c>
      <c r="D3106" s="84"/>
      <c r="E3106" s="85"/>
      <c r="F3106" s="34" t="s">
        <v>1657</v>
      </c>
      <c r="G3106" s="161" t="str">
        <f>HYPERLINK("https://ledvance.com/pt/product-datasheet/7126/87323","Ficha Técnica")</f>
        <v>Ficha Técnica</v>
      </c>
      <c r="H3106" s="15">
        <v>12</v>
      </c>
      <c r="I3106" s="163">
        <v>15000</v>
      </c>
      <c r="J3106" s="15">
        <v>750</v>
      </c>
      <c r="K3106" s="163"/>
      <c r="L3106" s="15"/>
      <c r="M3106" s="194">
        <v>27.9</v>
      </c>
      <c r="N3106" s="174" t="s">
        <v>962</v>
      </c>
    </row>
    <row r="3107" spans="1:14" x14ac:dyDescent="0.25">
      <c r="A3107" s="63" t="s">
        <v>960</v>
      </c>
      <c r="B3107" s="71" t="s">
        <v>3924</v>
      </c>
      <c r="C3107" s="2">
        <v>4050300004174</v>
      </c>
      <c r="D3107" s="84"/>
      <c r="E3107" s="85"/>
      <c r="F3107" s="34" t="s">
        <v>1657</v>
      </c>
      <c r="G3107" s="161" t="str">
        <f>HYPERLINK("https://ledvance.com/pt/product-datasheet/7126/89514","Ficha Técnica")</f>
        <v>Ficha Técnica</v>
      </c>
      <c r="H3107" s="15">
        <v>12</v>
      </c>
      <c r="I3107" s="163">
        <v>21580</v>
      </c>
      <c r="J3107" s="15">
        <v>1000</v>
      </c>
      <c r="K3107" s="163"/>
      <c r="L3107" s="15"/>
      <c r="M3107" s="194">
        <v>27.9</v>
      </c>
      <c r="N3107" s="174" t="s">
        <v>962</v>
      </c>
    </row>
    <row r="3108" spans="1:14" x14ac:dyDescent="0.25">
      <c r="A3108" s="63" t="s">
        <v>960</v>
      </c>
      <c r="B3108" s="71" t="s">
        <v>3925</v>
      </c>
      <c r="C3108" s="2">
        <v>4050300209906</v>
      </c>
      <c r="D3108" s="84"/>
      <c r="E3108" s="85"/>
      <c r="F3108" s="34" t="s">
        <v>1657</v>
      </c>
      <c r="G3108" s="161" t="str">
        <f>HYPERLINK("https://ledvance.com/pt/product-datasheet/7126/89523","Ficha Técnica")</f>
        <v>Ficha Técnica</v>
      </c>
      <c r="H3108" s="15">
        <v>12</v>
      </c>
      <c r="I3108" s="163">
        <v>21000</v>
      </c>
      <c r="J3108" s="15">
        <v>1000</v>
      </c>
      <c r="K3108" s="163"/>
      <c r="L3108" s="15"/>
      <c r="M3108" s="194">
        <v>27.9</v>
      </c>
      <c r="N3108" s="174" t="s">
        <v>962</v>
      </c>
    </row>
    <row r="3109" spans="1:14" x14ac:dyDescent="0.25">
      <c r="A3109" s="63" t="s">
        <v>960</v>
      </c>
      <c r="B3109" s="71" t="s">
        <v>3926</v>
      </c>
      <c r="C3109" s="2">
        <v>4050300004181</v>
      </c>
      <c r="D3109" s="84"/>
      <c r="E3109" s="85"/>
      <c r="F3109" s="34" t="s">
        <v>1657</v>
      </c>
      <c r="G3109" s="161" t="str">
        <f>HYPERLINK("https://ledvance.com/pt/product-datasheet/7126/89520","Ficha Técnica")</f>
        <v>Ficha Técnica</v>
      </c>
      <c r="H3109" s="15">
        <v>12</v>
      </c>
      <c r="I3109" s="163">
        <v>31000</v>
      </c>
      <c r="J3109" s="15">
        <v>1500</v>
      </c>
      <c r="K3109" s="163"/>
      <c r="L3109" s="15"/>
      <c r="M3109" s="194">
        <v>48.3</v>
      </c>
      <c r="N3109" s="174" t="s">
        <v>962</v>
      </c>
    </row>
    <row r="3110" spans="1:14" x14ac:dyDescent="0.25">
      <c r="A3110" s="63" t="s">
        <v>960</v>
      </c>
      <c r="B3110" s="71" t="s">
        <v>3927</v>
      </c>
      <c r="C3110" s="2">
        <v>4050300209920</v>
      </c>
      <c r="D3110" s="84"/>
      <c r="E3110" s="85"/>
      <c r="F3110" s="34" t="s">
        <v>1657</v>
      </c>
      <c r="G3110" s="161" t="str">
        <f>HYPERLINK("https://ledvance.com/pt/product-datasheet/7126/89530","Ficha Técnica")</f>
        <v>Ficha Técnica</v>
      </c>
      <c r="H3110" s="15">
        <v>12</v>
      </c>
      <c r="I3110" s="163">
        <v>31000</v>
      </c>
      <c r="J3110" s="15">
        <v>1500</v>
      </c>
      <c r="K3110" s="163"/>
      <c r="L3110" s="15"/>
      <c r="M3110" s="194">
        <v>48.3</v>
      </c>
      <c r="N3110" s="174" t="s">
        <v>962</v>
      </c>
    </row>
    <row r="3111" spans="1:14" x14ac:dyDescent="0.25">
      <c r="A3111" s="63" t="s">
        <v>960</v>
      </c>
      <c r="B3111" s="71" t="s">
        <v>3928</v>
      </c>
      <c r="C3111" s="2">
        <v>4050300004204</v>
      </c>
      <c r="D3111" s="84"/>
      <c r="E3111" s="85"/>
      <c r="F3111" s="34" t="s">
        <v>1657</v>
      </c>
      <c r="G3111" s="161" t="str">
        <f>HYPERLINK("https://ledvance.com/pt/product-datasheet/7126/89533","Ficha Técnica")</f>
        <v>Ficha Técnica</v>
      </c>
      <c r="H3111" s="15">
        <v>12</v>
      </c>
      <c r="I3111" s="163">
        <v>40000</v>
      </c>
      <c r="J3111" s="15">
        <v>2000</v>
      </c>
      <c r="K3111" s="163"/>
      <c r="L3111" s="15"/>
      <c r="M3111" s="194">
        <v>64.099999999999994</v>
      </c>
      <c r="N3111" s="174" t="s">
        <v>962</v>
      </c>
    </row>
    <row r="3112" spans="1:14" x14ac:dyDescent="0.25">
      <c r="A3112" s="63" t="s">
        <v>960</v>
      </c>
      <c r="B3112" s="71" t="s">
        <v>3929</v>
      </c>
      <c r="C3112" s="2">
        <v>4008321963192</v>
      </c>
      <c r="D3112" s="84"/>
      <c r="E3112" s="85"/>
      <c r="F3112" s="34" t="s">
        <v>1657</v>
      </c>
      <c r="G3112" s="161" t="str">
        <f>HYPERLINK("https://ledvance.com/pt/product-datasheet/7128/104758","Ficha Técnica")</f>
        <v>Ficha Técnica</v>
      </c>
      <c r="H3112" s="15">
        <v>40</v>
      </c>
      <c r="I3112" s="163">
        <v>95</v>
      </c>
      <c r="J3112" s="15">
        <v>7</v>
      </c>
      <c r="K3112" s="163"/>
      <c r="L3112" s="15"/>
      <c r="M3112" s="195">
        <v>15.3</v>
      </c>
      <c r="N3112" s="175" t="s">
        <v>964</v>
      </c>
    </row>
    <row r="3113" spans="1:14" x14ac:dyDescent="0.25">
      <c r="A3113" s="63" t="s">
        <v>960</v>
      </c>
      <c r="B3113" s="71" t="s">
        <v>3930</v>
      </c>
      <c r="C3113" s="2">
        <v>4008321317964</v>
      </c>
      <c r="D3113" s="84"/>
      <c r="E3113" s="85"/>
      <c r="F3113" s="34" t="s">
        <v>1657</v>
      </c>
      <c r="G3113" s="161" t="str">
        <f>HYPERLINK("https://ledvance.com/pt/product-datasheet/7128/112076","Ficha Técnica")</f>
        <v>Ficha Técnica</v>
      </c>
      <c r="H3113" s="15">
        <v>40</v>
      </c>
      <c r="I3113" s="163">
        <v>220</v>
      </c>
      <c r="J3113" s="15">
        <v>15</v>
      </c>
      <c r="K3113" s="163"/>
      <c r="L3113" s="15"/>
      <c r="M3113" s="195">
        <v>15.3</v>
      </c>
      <c r="N3113" s="175" t="s">
        <v>964</v>
      </c>
    </row>
    <row r="3114" spans="1:14" x14ac:dyDescent="0.25">
      <c r="A3114" s="63" t="s">
        <v>960</v>
      </c>
      <c r="B3114" s="71" t="s">
        <v>3931</v>
      </c>
      <c r="C3114" s="2">
        <v>4050300987262</v>
      </c>
      <c r="D3114" s="84"/>
      <c r="E3114" s="85"/>
      <c r="F3114" s="34" t="s">
        <v>1657</v>
      </c>
      <c r="G3114" s="161" t="str">
        <f>HYPERLINK("https://ledvance.com/pt/product-datasheet/7128/91365","Ficha Técnica")</f>
        <v>Ficha Técnica</v>
      </c>
      <c r="H3114" s="15">
        <v>40</v>
      </c>
      <c r="I3114" s="163">
        <v>440</v>
      </c>
      <c r="J3114" s="15">
        <v>25</v>
      </c>
      <c r="K3114" s="163"/>
      <c r="L3114" s="15"/>
      <c r="M3114" s="195">
        <v>15.3</v>
      </c>
      <c r="N3114" s="175" t="s">
        <v>964</v>
      </c>
    </row>
    <row r="3115" spans="1:14" x14ac:dyDescent="0.25">
      <c r="A3115" s="63" t="s">
        <v>960</v>
      </c>
      <c r="B3115" s="71" t="s">
        <v>3932</v>
      </c>
      <c r="C3115" s="2">
        <v>4050300615905</v>
      </c>
      <c r="D3115" s="84"/>
      <c r="E3115" s="85"/>
      <c r="F3115" s="34" t="s">
        <v>1657</v>
      </c>
      <c r="G3115" s="161" t="str">
        <f>HYPERLINK("https://ledvance.com/pt/product-datasheet/7128/91371","Ficha Técnica")</f>
        <v>Ficha Técnica</v>
      </c>
      <c r="H3115" s="15">
        <v>40</v>
      </c>
      <c r="I3115" s="163">
        <v>800</v>
      </c>
      <c r="J3115" s="15">
        <v>37</v>
      </c>
      <c r="K3115" s="163"/>
      <c r="L3115" s="15"/>
      <c r="M3115" s="195">
        <v>15.3</v>
      </c>
      <c r="N3115" s="175" t="s">
        <v>964</v>
      </c>
    </row>
    <row r="3116" spans="1:14" x14ac:dyDescent="0.25">
      <c r="A3116" s="63" t="s">
        <v>960</v>
      </c>
      <c r="B3116" s="71" t="s">
        <v>3933</v>
      </c>
      <c r="C3116" s="2">
        <v>4050300615936</v>
      </c>
      <c r="D3116" s="84"/>
      <c r="E3116" s="85"/>
      <c r="F3116" s="34" t="s">
        <v>1657</v>
      </c>
      <c r="G3116" s="161" t="str">
        <f>HYPERLINK("https://ledvance.com/pt/product-datasheet/7128/91377","Ficha Técnica")</f>
        <v>Ficha Técnica</v>
      </c>
      <c r="H3116" s="15">
        <v>40</v>
      </c>
      <c r="I3116" s="163">
        <v>1050</v>
      </c>
      <c r="J3116" s="15">
        <v>50</v>
      </c>
      <c r="K3116" s="163"/>
      <c r="L3116" s="15"/>
      <c r="M3116" s="195">
        <v>15.3</v>
      </c>
      <c r="N3116" s="175" t="s">
        <v>964</v>
      </c>
    </row>
    <row r="3117" spans="1:14" x14ac:dyDescent="0.25">
      <c r="A3117" s="63" t="s">
        <v>960</v>
      </c>
      <c r="B3117" s="71" t="s">
        <v>3934</v>
      </c>
      <c r="C3117" s="2">
        <v>4050300785400</v>
      </c>
      <c r="D3117" s="84"/>
      <c r="E3117" s="85"/>
      <c r="F3117" s="34" t="s">
        <v>1657</v>
      </c>
      <c r="G3117" s="161" t="str">
        <f>HYPERLINK("https://ledvance.com/pt/product-datasheet/7128/111256","Ficha Técnica")</f>
        <v>Ficha Técnica</v>
      </c>
      <c r="H3117" s="15">
        <v>40</v>
      </c>
      <c r="I3117" s="163">
        <v>1560</v>
      </c>
      <c r="J3117" s="15">
        <v>60</v>
      </c>
      <c r="K3117" s="163"/>
      <c r="L3117" s="15"/>
      <c r="M3117" s="195">
        <v>18.899999999999999</v>
      </c>
      <c r="N3117" s="175" t="s">
        <v>964</v>
      </c>
    </row>
    <row r="3118" spans="1:14" x14ac:dyDescent="0.25">
      <c r="A3118" s="63" t="s">
        <v>960</v>
      </c>
      <c r="B3118" s="71" t="s">
        <v>3935</v>
      </c>
      <c r="C3118" s="2">
        <v>4058075094154</v>
      </c>
      <c r="D3118" s="84"/>
      <c r="E3118" s="85"/>
      <c r="F3118" s="34" t="s">
        <v>1657</v>
      </c>
      <c r="G3118" s="161" t="str">
        <f>HYPERLINK("https://ledvance.com/pt/product-datasheet/7131/113514","Ficha Técnica")</f>
        <v>Ficha Técnica</v>
      </c>
      <c r="H3118" s="15">
        <v>40</v>
      </c>
      <c r="I3118" s="163">
        <v>55</v>
      </c>
      <c r="J3118" s="15">
        <v>5</v>
      </c>
      <c r="K3118" s="163"/>
      <c r="L3118" s="15"/>
      <c r="M3118" s="194">
        <v>4.4000000000000004</v>
      </c>
      <c r="N3118" s="174" t="s">
        <v>962</v>
      </c>
    </row>
    <row r="3119" spans="1:14" x14ac:dyDescent="0.25">
      <c r="A3119" s="63" t="s">
        <v>960</v>
      </c>
      <c r="B3119" s="71" t="s">
        <v>3936</v>
      </c>
      <c r="C3119" s="2">
        <v>4058075094178</v>
      </c>
      <c r="D3119" s="84"/>
      <c r="E3119" s="85"/>
      <c r="F3119" s="34" t="s">
        <v>1657</v>
      </c>
      <c r="G3119" s="161" t="str">
        <f>HYPERLINK("https://ledvance.com/pt/product-datasheet/7131/113588","Ficha Técnica")</f>
        <v>Ficha Técnica</v>
      </c>
      <c r="H3119" s="15">
        <v>40</v>
      </c>
      <c r="I3119" s="163">
        <v>130</v>
      </c>
      <c r="J3119" s="15">
        <v>10</v>
      </c>
      <c r="K3119" s="163"/>
      <c r="L3119" s="15"/>
      <c r="M3119" s="194">
        <v>4.4000000000000004</v>
      </c>
      <c r="N3119" s="174" t="s">
        <v>962</v>
      </c>
    </row>
    <row r="3120" spans="1:14" x14ac:dyDescent="0.25">
      <c r="A3120" s="63" t="s">
        <v>960</v>
      </c>
      <c r="B3120" s="71" t="s">
        <v>3937</v>
      </c>
      <c r="C3120" s="2">
        <v>4058075094192</v>
      </c>
      <c r="D3120" s="84"/>
      <c r="E3120" s="85"/>
      <c r="F3120" s="34" t="s">
        <v>1657</v>
      </c>
      <c r="G3120" s="161" t="str">
        <f>HYPERLINK("https://ledvance.com/pt/product-datasheet/7131/113526","Ficha Técnica")</f>
        <v>Ficha Técnica</v>
      </c>
      <c r="H3120" s="15">
        <v>40</v>
      </c>
      <c r="I3120" s="163">
        <v>130</v>
      </c>
      <c r="J3120" s="15">
        <v>10</v>
      </c>
      <c r="K3120" s="163"/>
      <c r="L3120" s="15"/>
      <c r="M3120" s="194">
        <v>4.4000000000000004</v>
      </c>
      <c r="N3120" s="174" t="s">
        <v>962</v>
      </c>
    </row>
    <row r="3121" spans="1:14" x14ac:dyDescent="0.25">
      <c r="A3121" s="63" t="s">
        <v>960</v>
      </c>
      <c r="B3121" s="71" t="s">
        <v>3938</v>
      </c>
      <c r="C3121" s="2">
        <v>4058075094215</v>
      </c>
      <c r="D3121" s="84"/>
      <c r="E3121" s="85"/>
      <c r="F3121" s="34" t="s">
        <v>1657</v>
      </c>
      <c r="G3121" s="161" t="str">
        <f>HYPERLINK("https://ledvance.com/pt/product-datasheet/7131/47765","Ficha Técnica")</f>
        <v>Ficha Técnica</v>
      </c>
      <c r="H3121" s="15">
        <v>40</v>
      </c>
      <c r="I3121" s="163">
        <v>300</v>
      </c>
      <c r="J3121" s="15">
        <v>20</v>
      </c>
      <c r="K3121" s="163"/>
      <c r="L3121" s="15"/>
      <c r="M3121" s="194">
        <v>5.3</v>
      </c>
      <c r="N3121" s="174" t="s">
        <v>962</v>
      </c>
    </row>
    <row r="3122" spans="1:14" x14ac:dyDescent="0.25">
      <c r="A3122" s="63" t="s">
        <v>960</v>
      </c>
      <c r="B3122" s="71" t="s">
        <v>3939</v>
      </c>
      <c r="C3122" s="2">
        <v>4058075094239</v>
      </c>
      <c r="D3122" s="84"/>
      <c r="E3122" s="85"/>
      <c r="F3122" s="34" t="s">
        <v>1657</v>
      </c>
      <c r="G3122" s="161" t="str">
        <f>HYPERLINK("https://ledvance.com/pt/product-datasheet/7131/113585","Ficha Técnica")</f>
        <v>Ficha Técnica</v>
      </c>
      <c r="H3122" s="15">
        <v>40</v>
      </c>
      <c r="I3122" s="163">
        <v>300</v>
      </c>
      <c r="J3122" s="15">
        <v>20</v>
      </c>
      <c r="K3122" s="163"/>
      <c r="L3122" s="15"/>
      <c r="M3122" s="194">
        <v>5.3</v>
      </c>
      <c r="N3122" s="174" t="s">
        <v>962</v>
      </c>
    </row>
    <row r="3123" spans="1:14" x14ac:dyDescent="0.25">
      <c r="A3123" s="63" t="s">
        <v>960</v>
      </c>
      <c r="B3123" s="71" t="s">
        <v>3940</v>
      </c>
      <c r="C3123" s="2">
        <v>4058075094253</v>
      </c>
      <c r="D3123" s="84"/>
      <c r="E3123" s="85"/>
      <c r="F3123" s="34" t="s">
        <v>1657</v>
      </c>
      <c r="G3123" s="161" t="str">
        <f>HYPERLINK("https://ledvance.com/pt/product-datasheet/7131/45995","Ficha Técnica")</f>
        <v>Ficha Técnica</v>
      </c>
      <c r="H3123" s="15">
        <v>40</v>
      </c>
      <c r="I3123" s="163">
        <v>580</v>
      </c>
      <c r="J3123" s="15">
        <v>35</v>
      </c>
      <c r="K3123" s="163"/>
      <c r="L3123" s="15"/>
      <c r="M3123" s="194">
        <v>5.3</v>
      </c>
      <c r="N3123" s="174" t="s">
        <v>962</v>
      </c>
    </row>
    <row r="3124" spans="1:14" x14ac:dyDescent="0.25">
      <c r="A3124" s="63" t="s">
        <v>960</v>
      </c>
      <c r="B3124" s="71" t="s">
        <v>3941</v>
      </c>
      <c r="C3124" s="2">
        <v>4058075094277</v>
      </c>
      <c r="D3124" s="84"/>
      <c r="E3124" s="85"/>
      <c r="F3124" s="34" t="s">
        <v>1657</v>
      </c>
      <c r="G3124" s="161" t="str">
        <f>HYPERLINK("https://ledvance.com/pt/product-datasheet/7131/113560","Ficha Técnica")</f>
        <v>Ficha Técnica</v>
      </c>
      <c r="H3124" s="15">
        <v>40</v>
      </c>
      <c r="I3124" s="163">
        <v>910</v>
      </c>
      <c r="J3124" s="15">
        <v>50</v>
      </c>
      <c r="K3124" s="163"/>
      <c r="L3124" s="15"/>
      <c r="M3124" s="194">
        <v>5.3</v>
      </c>
      <c r="N3124" s="174" t="s">
        <v>962</v>
      </c>
    </row>
    <row r="3125" spans="1:14" x14ac:dyDescent="0.25">
      <c r="A3125" s="63" t="s">
        <v>960</v>
      </c>
      <c r="B3125" s="78" t="s">
        <v>3942</v>
      </c>
      <c r="C3125" s="4">
        <v>4058075094291</v>
      </c>
      <c r="D3125" s="145"/>
      <c r="E3125" s="111"/>
      <c r="F3125" s="34" t="s">
        <v>1657</v>
      </c>
      <c r="G3125" s="161" t="str">
        <f>HYPERLINK("https://ledvance.com/pt/product-datasheet/7131/113576","Ficha Técnica")</f>
        <v>Ficha Técnica</v>
      </c>
      <c r="H3125" s="15">
        <v>40</v>
      </c>
      <c r="I3125" s="163">
        <v>1450</v>
      </c>
      <c r="J3125" s="15">
        <v>75</v>
      </c>
      <c r="K3125" s="163"/>
      <c r="L3125" s="15"/>
      <c r="M3125" s="194">
        <v>5.2</v>
      </c>
      <c r="N3125" s="174" t="s">
        <v>962</v>
      </c>
    </row>
    <row r="3126" spans="1:14" x14ac:dyDescent="0.25">
      <c r="A3126" s="63" t="s">
        <v>960</v>
      </c>
      <c r="B3126" s="71" t="s">
        <v>3943</v>
      </c>
      <c r="C3126" s="2">
        <v>4050300308081</v>
      </c>
      <c r="D3126" s="84"/>
      <c r="E3126" s="85"/>
      <c r="F3126" s="34" t="s">
        <v>1657</v>
      </c>
      <c r="G3126" s="161" t="str">
        <f>HYPERLINK("https://ledvance.com/pt/product-datasheet/7136/118330","Ficha Técnica")</f>
        <v>Ficha Técnica</v>
      </c>
      <c r="H3126" s="15">
        <v>40</v>
      </c>
      <c r="I3126" s="163">
        <v>130</v>
      </c>
      <c r="J3126" s="15">
        <v>10</v>
      </c>
      <c r="K3126" s="163"/>
      <c r="L3126" s="15">
        <v>2</v>
      </c>
      <c r="M3126" s="195">
        <v>6.5</v>
      </c>
      <c r="N3126" s="175" t="s">
        <v>964</v>
      </c>
    </row>
    <row r="3127" spans="1:14" x14ac:dyDescent="0.25">
      <c r="A3127" s="66" t="s">
        <v>960</v>
      </c>
      <c r="B3127" s="79" t="s">
        <v>1018</v>
      </c>
      <c r="C3127" s="51"/>
      <c r="D3127" s="65"/>
      <c r="E3127" s="86"/>
      <c r="F3127" s="12"/>
      <c r="G3127" s="157"/>
      <c r="H3127" s="12"/>
      <c r="I3127" s="62"/>
      <c r="J3127" s="27"/>
      <c r="K3127" s="62"/>
      <c r="L3127" s="12"/>
      <c r="M3127" s="191"/>
      <c r="N3127" s="130"/>
    </row>
    <row r="3128" spans="1:14" x14ac:dyDescent="0.25">
      <c r="A3128" s="63" t="s">
        <v>960</v>
      </c>
      <c r="B3128" s="71" t="s">
        <v>3944</v>
      </c>
      <c r="C3128" s="2">
        <v>4050300003108</v>
      </c>
      <c r="D3128" s="84"/>
      <c r="E3128" s="85"/>
      <c r="F3128" s="34" t="s">
        <v>1657</v>
      </c>
      <c r="G3128" s="161" t="str">
        <f>HYPERLINK("https://ledvance.com/pt/product-datasheet/7567/95019","Ficha Técnica")</f>
        <v>Ficha Técnica</v>
      </c>
      <c r="H3128" s="15">
        <v>100</v>
      </c>
      <c r="I3128" s="163">
        <v>85</v>
      </c>
      <c r="J3128" s="15">
        <v>15</v>
      </c>
      <c r="K3128" s="163"/>
      <c r="L3128" s="15"/>
      <c r="M3128" s="195">
        <v>7.2</v>
      </c>
      <c r="N3128" s="175" t="s">
        <v>964</v>
      </c>
    </row>
    <row r="3129" spans="1:14" x14ac:dyDescent="0.25">
      <c r="A3129" s="63" t="s">
        <v>960</v>
      </c>
      <c r="B3129" s="71" t="s">
        <v>3945</v>
      </c>
      <c r="C3129" s="2">
        <v>4050300066639</v>
      </c>
      <c r="D3129" s="84"/>
      <c r="E3129" s="85"/>
      <c r="F3129" s="34" t="s">
        <v>1657</v>
      </c>
      <c r="G3129" s="161" t="str">
        <f>HYPERLINK("https://ledvance.com/pt/product-datasheet/7567/106396","Ficha Técnica")</f>
        <v>Ficha Técnica</v>
      </c>
      <c r="H3129" s="15">
        <v>50</v>
      </c>
      <c r="I3129" s="163">
        <v>60</v>
      </c>
      <c r="J3129" s="15">
        <v>15</v>
      </c>
      <c r="K3129" s="163"/>
      <c r="L3129" s="15"/>
      <c r="M3129" s="195">
        <v>9.3000000000000007</v>
      </c>
      <c r="N3129" s="175" t="s">
        <v>964</v>
      </c>
    </row>
    <row r="3130" spans="1:14" x14ac:dyDescent="0.25">
      <c r="A3130" s="63" t="s">
        <v>960</v>
      </c>
      <c r="B3130" s="71" t="s">
        <v>1019</v>
      </c>
      <c r="C3130" s="2">
        <v>4050300003085</v>
      </c>
      <c r="D3130" s="84"/>
      <c r="E3130" s="85"/>
      <c r="F3130" s="34" t="s">
        <v>1657</v>
      </c>
      <c r="G3130" s="161" t="str">
        <f>HYPERLINK("https://ledvance.com/pt/product-datasheet/7567/113255","Ficha Técnica")</f>
        <v>Ficha Técnica</v>
      </c>
      <c r="H3130" s="15">
        <v>100</v>
      </c>
      <c r="I3130" s="163">
        <v>85</v>
      </c>
      <c r="J3130" s="15">
        <v>15</v>
      </c>
      <c r="K3130" s="163"/>
      <c r="L3130" s="15"/>
      <c r="M3130" s="195">
        <v>4.7</v>
      </c>
      <c r="N3130" s="175" t="s">
        <v>964</v>
      </c>
    </row>
    <row r="3131" spans="1:14" x14ac:dyDescent="0.25">
      <c r="A3131" s="63" t="s">
        <v>960</v>
      </c>
      <c r="B3131" s="71" t="s">
        <v>3946</v>
      </c>
      <c r="C3131" s="2">
        <v>4050300310282</v>
      </c>
      <c r="D3131" s="84"/>
      <c r="E3131" s="85"/>
      <c r="F3131" s="34" t="s">
        <v>1657</v>
      </c>
      <c r="G3131" s="161" t="str">
        <f>HYPERLINK("https://ledvance.com/pt/product-datasheet/7567/33307","Ficha Técnica")</f>
        <v>Ficha Técnica</v>
      </c>
      <c r="H3131" s="15">
        <v>100</v>
      </c>
      <c r="I3131" s="163">
        <v>85</v>
      </c>
      <c r="J3131" s="15">
        <v>15</v>
      </c>
      <c r="K3131" s="163"/>
      <c r="L3131" s="15"/>
      <c r="M3131" s="195">
        <v>4.7</v>
      </c>
      <c r="N3131" s="175" t="s">
        <v>964</v>
      </c>
    </row>
    <row r="3132" spans="1:14" x14ac:dyDescent="0.25">
      <c r="A3132" s="63" t="s">
        <v>960</v>
      </c>
      <c r="B3132" s="71" t="s">
        <v>1020</v>
      </c>
      <c r="C3132" s="2">
        <v>4050300323596</v>
      </c>
      <c r="D3132" s="84"/>
      <c r="E3132" s="85"/>
      <c r="F3132" s="34" t="s">
        <v>1657</v>
      </c>
      <c r="G3132" s="161" t="str">
        <f>HYPERLINK("https://ledvance.com/pt/product-datasheet/7567/113278","Ficha Técnica")</f>
        <v>Ficha Técnica</v>
      </c>
      <c r="H3132" s="15">
        <v>100</v>
      </c>
      <c r="I3132" s="163">
        <v>140</v>
      </c>
      <c r="J3132" s="15">
        <v>25</v>
      </c>
      <c r="K3132" s="163"/>
      <c r="L3132" s="15"/>
      <c r="M3132" s="195">
        <v>4.7</v>
      </c>
      <c r="N3132" s="175" t="s">
        <v>964</v>
      </c>
    </row>
    <row r="3133" spans="1:14" x14ac:dyDescent="0.25">
      <c r="A3133" s="63" t="s">
        <v>960</v>
      </c>
      <c r="B3133" s="71" t="s">
        <v>3947</v>
      </c>
      <c r="C3133" s="2">
        <v>4050300309637</v>
      </c>
      <c r="D3133" s="84"/>
      <c r="E3133" s="85"/>
      <c r="F3133" s="34" t="s">
        <v>1657</v>
      </c>
      <c r="G3133" s="161" t="str">
        <f>HYPERLINK("https://ledvance.com/pt/product-datasheet/7570/33315","Ficha Técnica")</f>
        <v>Ficha Técnica</v>
      </c>
      <c r="H3133" s="15">
        <v>100</v>
      </c>
      <c r="I3133" s="163">
        <v>140</v>
      </c>
      <c r="J3133" s="15">
        <v>25</v>
      </c>
      <c r="K3133" s="163"/>
      <c r="L3133" s="15"/>
      <c r="M3133" s="195">
        <v>4.7</v>
      </c>
      <c r="N3133" s="175" t="s">
        <v>964</v>
      </c>
    </row>
    <row r="3134" spans="1:14" ht="23.25" x14ac:dyDescent="0.25">
      <c r="A3134" s="178"/>
      <c r="B3134" s="182" t="s">
        <v>1021</v>
      </c>
      <c r="C3134" s="51"/>
      <c r="D3134" s="12"/>
      <c r="E3134" s="12"/>
      <c r="F3134" s="12"/>
      <c r="G3134" s="45"/>
      <c r="H3134" s="12"/>
      <c r="I3134" s="12"/>
      <c r="J3134" s="27"/>
      <c r="K3134" s="12"/>
      <c r="L3134" s="12"/>
      <c r="M3134" s="191"/>
      <c r="N3134" s="168"/>
    </row>
    <row r="3135" spans="1:14" x14ac:dyDescent="0.25">
      <c r="A3135" s="66" t="s">
        <v>1021</v>
      </c>
      <c r="B3135" s="79" t="s">
        <v>1022</v>
      </c>
      <c r="C3135" s="51"/>
      <c r="D3135" s="65"/>
      <c r="E3135" s="86"/>
      <c r="F3135" s="12"/>
      <c r="G3135" s="157"/>
      <c r="H3135" s="49"/>
      <c r="I3135" s="165"/>
      <c r="J3135" s="49"/>
      <c r="K3135" s="165"/>
      <c r="L3135" s="49"/>
      <c r="M3135" s="191"/>
      <c r="N3135" s="130"/>
    </row>
    <row r="3136" spans="1:14" x14ac:dyDescent="0.25">
      <c r="A3136" s="66" t="s">
        <v>1021</v>
      </c>
      <c r="B3136" s="79" t="s">
        <v>1023</v>
      </c>
      <c r="C3136" s="51"/>
      <c r="D3136" s="65"/>
      <c r="E3136" s="86"/>
      <c r="F3136" s="12"/>
      <c r="G3136" s="157"/>
      <c r="H3136" s="49"/>
      <c r="I3136" s="165"/>
      <c r="J3136" s="49"/>
      <c r="K3136" s="165"/>
      <c r="L3136" s="49"/>
      <c r="M3136" s="191"/>
      <c r="N3136" s="130"/>
    </row>
    <row r="3137" spans="1:14" x14ac:dyDescent="0.25">
      <c r="A3137" s="63" t="s">
        <v>1021</v>
      </c>
      <c r="B3137" s="71" t="s">
        <v>1024</v>
      </c>
      <c r="C3137" s="2">
        <v>4008321383334</v>
      </c>
      <c r="D3137" s="84"/>
      <c r="E3137" s="85"/>
      <c r="F3137" s="34" t="s">
        <v>1657</v>
      </c>
      <c r="G3137" s="161" t="str">
        <f>HYPERLINK("https://ledvance.com/pt/product-datasheet/7741/140285","Ficha Técnica")</f>
        <v>Ficha Técnica</v>
      </c>
      <c r="H3137" s="15">
        <v>20</v>
      </c>
      <c r="I3137" s="163"/>
      <c r="J3137" s="15">
        <v>43</v>
      </c>
      <c r="K3137" s="163" t="s">
        <v>46</v>
      </c>
      <c r="L3137" s="15"/>
      <c r="M3137" s="195">
        <v>102.8</v>
      </c>
      <c r="N3137" s="175" t="s">
        <v>964</v>
      </c>
    </row>
    <row r="3138" spans="1:14" x14ac:dyDescent="0.25">
      <c r="A3138" s="63" t="s">
        <v>1021</v>
      </c>
      <c r="B3138" s="71" t="s">
        <v>1025</v>
      </c>
      <c r="C3138" s="2">
        <v>4008321383358</v>
      </c>
      <c r="D3138" s="84"/>
      <c r="E3138" s="85"/>
      <c r="F3138" s="34" t="s">
        <v>1657</v>
      </c>
      <c r="G3138" s="161" t="str">
        <f>HYPERLINK("https://ledvance.com/pt/product-datasheet/7741/140289","Ficha Técnica")</f>
        <v>Ficha Técnica</v>
      </c>
      <c r="H3138" s="15">
        <v>20</v>
      </c>
      <c r="I3138" s="163"/>
      <c r="J3138" s="15">
        <v>59</v>
      </c>
      <c r="K3138" s="163" t="s">
        <v>46</v>
      </c>
      <c r="L3138" s="15"/>
      <c r="M3138" s="195">
        <v>102.9</v>
      </c>
      <c r="N3138" s="175" t="s">
        <v>964</v>
      </c>
    </row>
    <row r="3139" spans="1:14" x14ac:dyDescent="0.25">
      <c r="A3139" s="63" t="s">
        <v>1021</v>
      </c>
      <c r="B3139" s="71" t="s">
        <v>1026</v>
      </c>
      <c r="C3139" s="2">
        <v>4008321383372</v>
      </c>
      <c r="D3139" s="84"/>
      <c r="E3139" s="85"/>
      <c r="F3139" s="34" t="s">
        <v>1657</v>
      </c>
      <c r="G3139" s="161" t="str">
        <f>HYPERLINK("https://ledvance.com/pt/product-datasheet/7741/140293","Ficha Técnica")</f>
        <v>Ficha Técnica</v>
      </c>
      <c r="H3139" s="15">
        <v>20</v>
      </c>
      <c r="I3139" s="163"/>
      <c r="J3139" s="15">
        <v>90</v>
      </c>
      <c r="K3139" s="163" t="s">
        <v>46</v>
      </c>
      <c r="L3139" s="15"/>
      <c r="M3139" s="195">
        <v>102.9</v>
      </c>
      <c r="N3139" s="175" t="s">
        <v>964</v>
      </c>
    </row>
    <row r="3140" spans="1:14" x14ac:dyDescent="0.25">
      <c r="A3140" s="63" t="s">
        <v>1021</v>
      </c>
      <c r="B3140" s="71" t="s">
        <v>1027</v>
      </c>
      <c r="C3140" s="2">
        <v>4008321383396</v>
      </c>
      <c r="D3140" s="84"/>
      <c r="E3140" s="85"/>
      <c r="F3140" s="34" t="s">
        <v>1657</v>
      </c>
      <c r="G3140" s="161" t="str">
        <f>HYPERLINK("https://ledvance.com/pt/product-datasheet/7741/140297","Ficha Técnica")</f>
        <v>Ficha Técnica</v>
      </c>
      <c r="H3140" s="15">
        <v>20</v>
      </c>
      <c r="I3140" s="163"/>
      <c r="J3140" s="15">
        <v>88</v>
      </c>
      <c r="K3140" s="163" t="s">
        <v>46</v>
      </c>
      <c r="L3140" s="15"/>
      <c r="M3140" s="195">
        <v>110.4</v>
      </c>
      <c r="N3140" s="175" t="s">
        <v>964</v>
      </c>
    </row>
    <row r="3141" spans="1:14" x14ac:dyDescent="0.25">
      <c r="A3141" s="63" t="s">
        <v>1021</v>
      </c>
      <c r="B3141" s="71" t="s">
        <v>1028</v>
      </c>
      <c r="C3141" s="2">
        <v>4008321329035</v>
      </c>
      <c r="D3141" s="84"/>
      <c r="E3141" s="85"/>
      <c r="F3141" s="34" t="s">
        <v>1657</v>
      </c>
      <c r="G3141" s="161" t="str">
        <f>HYPERLINK("https://ledvance.com/pt/product-datasheet/7742/133945","Ficha Técnica")</f>
        <v>Ficha Técnica</v>
      </c>
      <c r="H3141" s="15">
        <v>20</v>
      </c>
      <c r="I3141" s="163"/>
      <c r="J3141" s="15">
        <v>39</v>
      </c>
      <c r="K3141" s="163" t="s">
        <v>46</v>
      </c>
      <c r="L3141" s="15"/>
      <c r="M3141" s="195">
        <v>60.5</v>
      </c>
      <c r="N3141" s="175" t="s">
        <v>964</v>
      </c>
    </row>
    <row r="3142" spans="1:14" x14ac:dyDescent="0.25">
      <c r="A3142" s="63" t="s">
        <v>1021</v>
      </c>
      <c r="B3142" s="71" t="s">
        <v>1029</v>
      </c>
      <c r="C3142" s="2">
        <v>4008321329370</v>
      </c>
      <c r="D3142" s="84"/>
      <c r="E3142" s="85"/>
      <c r="F3142" s="34" t="s">
        <v>1657</v>
      </c>
      <c r="G3142" s="161" t="str">
        <f>HYPERLINK("https://ledvance.com/pt/product-datasheet/7742/126427","Ficha Técnica")</f>
        <v>Ficha Técnica</v>
      </c>
      <c r="H3142" s="15">
        <v>20</v>
      </c>
      <c r="I3142" s="163"/>
      <c r="J3142" s="15">
        <v>55</v>
      </c>
      <c r="K3142" s="163" t="s">
        <v>46</v>
      </c>
      <c r="L3142" s="15"/>
      <c r="M3142" s="195">
        <v>60.5</v>
      </c>
      <c r="N3142" s="175" t="s">
        <v>964</v>
      </c>
    </row>
    <row r="3143" spans="1:14" x14ac:dyDescent="0.25">
      <c r="A3143" s="63" t="s">
        <v>1021</v>
      </c>
      <c r="B3143" s="71" t="s">
        <v>1030</v>
      </c>
      <c r="C3143" s="2">
        <v>4008321329059</v>
      </c>
      <c r="D3143" s="84"/>
      <c r="E3143" s="85"/>
      <c r="F3143" s="34" t="s">
        <v>1657</v>
      </c>
      <c r="G3143" s="161" t="str">
        <f>HYPERLINK("https://ledvance.com/pt/product-datasheet/7742/126431","Ficha Técnica")</f>
        <v>Ficha Técnica</v>
      </c>
      <c r="H3143" s="15">
        <v>20</v>
      </c>
      <c r="I3143" s="163"/>
      <c r="J3143" s="15">
        <v>88</v>
      </c>
      <c r="K3143" s="163" t="s">
        <v>46</v>
      </c>
      <c r="L3143" s="15"/>
      <c r="M3143" s="195">
        <v>64.5</v>
      </c>
      <c r="N3143" s="175" t="s">
        <v>964</v>
      </c>
    </row>
    <row r="3144" spans="1:14" x14ac:dyDescent="0.25">
      <c r="A3144" s="63" t="s">
        <v>1021</v>
      </c>
      <c r="B3144" s="71" t="s">
        <v>1031</v>
      </c>
      <c r="C3144" s="2">
        <v>4008321329073</v>
      </c>
      <c r="D3144" s="84"/>
      <c r="E3144" s="85"/>
      <c r="F3144" s="34" t="s">
        <v>1657</v>
      </c>
      <c r="G3144" s="161" t="str">
        <f>HYPERLINK("https://ledvance.com/pt/product-datasheet/7742/133950","Ficha Técnica")</f>
        <v>Ficha Técnica</v>
      </c>
      <c r="H3144" s="15">
        <v>20</v>
      </c>
      <c r="I3144" s="163"/>
      <c r="J3144" s="15">
        <v>78</v>
      </c>
      <c r="K3144" s="163" t="s">
        <v>46</v>
      </c>
      <c r="L3144" s="15"/>
      <c r="M3144" s="195">
        <v>68</v>
      </c>
      <c r="N3144" s="175" t="s">
        <v>964</v>
      </c>
    </row>
    <row r="3145" spans="1:14" x14ac:dyDescent="0.25">
      <c r="A3145" s="63" t="s">
        <v>1021</v>
      </c>
      <c r="B3145" s="71" t="s">
        <v>1032</v>
      </c>
      <c r="C3145" s="2">
        <v>4008321329431</v>
      </c>
      <c r="D3145" s="84"/>
      <c r="E3145" s="85"/>
      <c r="F3145" s="34" t="s">
        <v>1657</v>
      </c>
      <c r="G3145" s="161" t="str">
        <f>HYPERLINK("https://ledvance.com/pt/product-datasheet/7742/129545","Ficha Técnica")</f>
        <v>Ficha Técnica</v>
      </c>
      <c r="H3145" s="15">
        <v>20</v>
      </c>
      <c r="I3145" s="163"/>
      <c r="J3145" s="15">
        <v>110</v>
      </c>
      <c r="K3145" s="163" t="s">
        <v>46</v>
      </c>
      <c r="L3145" s="15"/>
      <c r="M3145" s="195">
        <v>68</v>
      </c>
      <c r="N3145" s="175" t="s">
        <v>964</v>
      </c>
    </row>
    <row r="3146" spans="1:14" x14ac:dyDescent="0.25">
      <c r="A3146" s="63" t="s">
        <v>1021</v>
      </c>
      <c r="B3146" s="71" t="s">
        <v>1033</v>
      </c>
      <c r="C3146" s="2">
        <v>4008321484598</v>
      </c>
      <c r="D3146" s="84"/>
      <c r="E3146" s="85"/>
      <c r="F3146" s="34" t="s">
        <v>1657</v>
      </c>
      <c r="G3146" s="161" t="str">
        <f>HYPERLINK("https://ledvance.com/pt/product-datasheet/7742/126403","Ficha Técnica")</f>
        <v>Ficha Técnica</v>
      </c>
      <c r="H3146" s="15">
        <v>20</v>
      </c>
      <c r="I3146" s="163"/>
      <c r="J3146" s="15">
        <v>62</v>
      </c>
      <c r="K3146" s="163" t="s">
        <v>46</v>
      </c>
      <c r="L3146" s="15"/>
      <c r="M3146" s="195">
        <v>79.400000000000006</v>
      </c>
      <c r="N3146" s="175" t="s">
        <v>964</v>
      </c>
    </row>
    <row r="3147" spans="1:14" x14ac:dyDescent="0.25">
      <c r="A3147" s="63" t="s">
        <v>1021</v>
      </c>
      <c r="B3147" s="71" t="s">
        <v>1034</v>
      </c>
      <c r="C3147" s="2">
        <v>4050300825564</v>
      </c>
      <c r="D3147" s="84"/>
      <c r="E3147" s="85"/>
      <c r="F3147" s="34" t="s">
        <v>1657</v>
      </c>
      <c r="G3147" s="161" t="str">
        <f>HYPERLINK("https://ledvance.com/pt/product-datasheet/7744/127868","Ficha Técnica")</f>
        <v>Ficha Técnica</v>
      </c>
      <c r="H3147" s="15">
        <v>20</v>
      </c>
      <c r="I3147" s="163"/>
      <c r="J3147" s="15">
        <v>175</v>
      </c>
      <c r="K3147" s="163" t="s">
        <v>46</v>
      </c>
      <c r="L3147" s="15"/>
      <c r="M3147" s="195">
        <v>108.5</v>
      </c>
      <c r="N3147" s="175" t="s">
        <v>964</v>
      </c>
    </row>
    <row r="3148" spans="1:14" x14ac:dyDescent="0.25">
      <c r="A3148" s="63" t="s">
        <v>1021</v>
      </c>
      <c r="B3148" s="71" t="s">
        <v>1035</v>
      </c>
      <c r="C3148" s="2">
        <v>4008321873743</v>
      </c>
      <c r="D3148" s="84"/>
      <c r="E3148" s="85"/>
      <c r="F3148" s="34" t="s">
        <v>1657</v>
      </c>
      <c r="G3148" s="161" t="str">
        <f>HYPERLINK("https://ledvance.com/pt/product-datasheet/7743/131061","Ficha Técnica")</f>
        <v>Ficha Técnica</v>
      </c>
      <c r="H3148" s="15">
        <v>20</v>
      </c>
      <c r="I3148" s="163"/>
      <c r="J3148" s="15">
        <v>43</v>
      </c>
      <c r="K3148" s="163" t="s">
        <v>46</v>
      </c>
      <c r="L3148" s="15"/>
      <c r="M3148" s="195">
        <v>43.3</v>
      </c>
      <c r="N3148" s="175" t="s">
        <v>964</v>
      </c>
    </row>
    <row r="3149" spans="1:14" x14ac:dyDescent="0.25">
      <c r="A3149" s="63" t="s">
        <v>1021</v>
      </c>
      <c r="B3149" s="71" t="s">
        <v>1036</v>
      </c>
      <c r="C3149" s="2">
        <v>4008321873729</v>
      </c>
      <c r="D3149" s="84"/>
      <c r="E3149" s="85"/>
      <c r="F3149" s="34" t="s">
        <v>1657</v>
      </c>
      <c r="G3149" s="161" t="str">
        <f>HYPERLINK("https://ledvance.com/pt/product-datasheet/7743/138739","Ficha Técnica")</f>
        <v>Ficha Técnica</v>
      </c>
      <c r="H3149" s="15">
        <v>20</v>
      </c>
      <c r="I3149" s="163"/>
      <c r="J3149" s="15">
        <v>60</v>
      </c>
      <c r="K3149" s="163" t="s">
        <v>46</v>
      </c>
      <c r="L3149" s="15"/>
      <c r="M3149" s="195">
        <v>43.3</v>
      </c>
      <c r="N3149" s="175" t="s">
        <v>964</v>
      </c>
    </row>
    <row r="3150" spans="1:14" x14ac:dyDescent="0.25">
      <c r="A3150" s="63" t="s">
        <v>1021</v>
      </c>
      <c r="B3150" s="71" t="s">
        <v>1037</v>
      </c>
      <c r="C3150" s="2">
        <v>4008321873767</v>
      </c>
      <c r="D3150" s="84"/>
      <c r="E3150" s="85"/>
      <c r="F3150" s="34" t="s">
        <v>1657</v>
      </c>
      <c r="G3150" s="161" t="str">
        <f>HYPERLINK("https://ledvance.com/pt/product-datasheet/7743/138734","Ficha Técnica")</f>
        <v>Ficha Técnica</v>
      </c>
      <c r="H3150" s="15">
        <v>20</v>
      </c>
      <c r="I3150" s="163"/>
      <c r="J3150" s="15">
        <v>86</v>
      </c>
      <c r="K3150" s="163" t="s">
        <v>46</v>
      </c>
      <c r="L3150" s="15"/>
      <c r="M3150" s="195">
        <v>52.2</v>
      </c>
      <c r="N3150" s="175" t="s">
        <v>964</v>
      </c>
    </row>
    <row r="3151" spans="1:14" x14ac:dyDescent="0.25">
      <c r="A3151" s="63" t="s">
        <v>1021</v>
      </c>
      <c r="B3151" s="71" t="s">
        <v>1038</v>
      </c>
      <c r="C3151" s="2">
        <v>4008321880253</v>
      </c>
      <c r="D3151" s="84"/>
      <c r="E3151" s="85"/>
      <c r="F3151" s="34" t="s">
        <v>1657</v>
      </c>
      <c r="G3151" s="161" t="str">
        <f>HYPERLINK("https://ledvance.com/pt/product-datasheet/7743/136688","Ficha Técnica")</f>
        <v>Ficha Técnica</v>
      </c>
      <c r="H3151" s="15">
        <v>20</v>
      </c>
      <c r="I3151" s="163"/>
      <c r="J3151" s="15">
        <v>115</v>
      </c>
      <c r="K3151" s="163" t="s">
        <v>46</v>
      </c>
      <c r="L3151" s="15"/>
      <c r="M3151" s="195">
        <v>52.2</v>
      </c>
      <c r="N3151" s="175" t="s">
        <v>964</v>
      </c>
    </row>
    <row r="3152" spans="1:14" x14ac:dyDescent="0.25">
      <c r="A3152" s="63" t="s">
        <v>1021</v>
      </c>
      <c r="B3152" s="71" t="s">
        <v>1039</v>
      </c>
      <c r="C3152" s="2">
        <v>4008321971234</v>
      </c>
      <c r="D3152" s="84"/>
      <c r="E3152" s="85"/>
      <c r="F3152" s="34" t="s">
        <v>1657</v>
      </c>
      <c r="G3152" s="161" t="str">
        <f>HYPERLINK("https://ledvance.com/pt/product-datasheet/7751/134262","Ficha Técnica")</f>
        <v>Ficha Técnica</v>
      </c>
      <c r="H3152" s="15">
        <v>20</v>
      </c>
      <c r="I3152" s="163"/>
      <c r="J3152" s="15">
        <v>39</v>
      </c>
      <c r="K3152" s="163" t="s">
        <v>46</v>
      </c>
      <c r="L3152" s="15"/>
      <c r="M3152" s="195">
        <v>37.9</v>
      </c>
      <c r="N3152" s="175" t="s">
        <v>964</v>
      </c>
    </row>
    <row r="3153" spans="1:14" x14ac:dyDescent="0.25">
      <c r="A3153" s="63" t="s">
        <v>1021</v>
      </c>
      <c r="B3153" s="71" t="s">
        <v>1040</v>
      </c>
      <c r="C3153" s="2">
        <v>4008321971258</v>
      </c>
      <c r="D3153" s="84"/>
      <c r="E3153" s="85"/>
      <c r="F3153" s="34" t="s">
        <v>1657</v>
      </c>
      <c r="G3153" s="161" t="str">
        <f>HYPERLINK("https://ledvance.com/pt/product-datasheet/7751/134266","Ficha Técnica")</f>
        <v>Ficha Técnica</v>
      </c>
      <c r="H3153" s="15">
        <v>20</v>
      </c>
      <c r="I3153" s="163"/>
      <c r="J3153" s="15">
        <v>78</v>
      </c>
      <c r="K3153" s="163" t="s">
        <v>46</v>
      </c>
      <c r="L3153" s="15"/>
      <c r="M3153" s="195">
        <v>43.5</v>
      </c>
      <c r="N3153" s="175" t="s">
        <v>964</v>
      </c>
    </row>
    <row r="3154" spans="1:14" x14ac:dyDescent="0.25">
      <c r="A3154" s="63" t="s">
        <v>1021</v>
      </c>
      <c r="B3154" s="71" t="s">
        <v>1041</v>
      </c>
      <c r="C3154" s="2">
        <v>4008321832153</v>
      </c>
      <c r="D3154" s="84"/>
      <c r="E3154" s="85"/>
      <c r="F3154" s="34" t="s">
        <v>1657</v>
      </c>
      <c r="G3154" s="161" t="str">
        <f>HYPERLINK("https://ledvance.com/pt/product-datasheet/7751/129550","Ficha Técnica")</f>
        <v>Ficha Técnica</v>
      </c>
      <c r="H3154" s="15">
        <v>20</v>
      </c>
      <c r="I3154" s="163"/>
      <c r="J3154" s="15">
        <v>110</v>
      </c>
      <c r="K3154" s="163" t="s">
        <v>46</v>
      </c>
      <c r="L3154" s="15"/>
      <c r="M3154" s="195">
        <v>43.5</v>
      </c>
      <c r="N3154" s="175" t="s">
        <v>964</v>
      </c>
    </row>
    <row r="3155" spans="1:14" x14ac:dyDescent="0.25">
      <c r="A3155" s="63" t="s">
        <v>1021</v>
      </c>
      <c r="B3155" s="71" t="s">
        <v>1042</v>
      </c>
      <c r="C3155" s="2">
        <v>4008321971210</v>
      </c>
      <c r="D3155" s="84"/>
      <c r="E3155" s="85"/>
      <c r="F3155" s="34" t="s">
        <v>1657</v>
      </c>
      <c r="G3155" s="161" t="str">
        <f>HYPERLINK("https://ledvance.com/pt/product-datasheet/7751/42833","Ficha Técnica")</f>
        <v>Ficha Técnica</v>
      </c>
      <c r="H3155" s="15">
        <v>20</v>
      </c>
      <c r="I3155" s="163"/>
      <c r="J3155" s="15">
        <v>62</v>
      </c>
      <c r="K3155" s="163" t="s">
        <v>46</v>
      </c>
      <c r="L3155" s="15"/>
      <c r="M3155" s="195">
        <v>45.2</v>
      </c>
      <c r="N3155" s="175" t="s">
        <v>964</v>
      </c>
    </row>
    <row r="3156" spans="1:14" x14ac:dyDescent="0.25">
      <c r="A3156" s="63" t="s">
        <v>1021</v>
      </c>
      <c r="B3156" s="71" t="s">
        <v>1043</v>
      </c>
      <c r="C3156" s="2">
        <v>4008321873927</v>
      </c>
      <c r="D3156" s="84"/>
      <c r="E3156" s="85"/>
      <c r="F3156" s="34" t="s">
        <v>1657</v>
      </c>
      <c r="G3156" s="161" t="str">
        <f>HYPERLINK("https://ledvance.com/pt/product-datasheet/7752/134276","Ficha Técnica")</f>
        <v>Ficha Técnica</v>
      </c>
      <c r="H3156" s="15">
        <v>20</v>
      </c>
      <c r="I3156" s="163"/>
      <c r="J3156" s="15">
        <v>42</v>
      </c>
      <c r="K3156" s="163" t="s">
        <v>46</v>
      </c>
      <c r="L3156" s="15"/>
      <c r="M3156" s="195">
        <v>38.299999999999997</v>
      </c>
      <c r="N3156" s="175" t="s">
        <v>964</v>
      </c>
    </row>
    <row r="3157" spans="1:14" x14ac:dyDescent="0.25">
      <c r="A3157" s="63" t="s">
        <v>1021</v>
      </c>
      <c r="B3157" s="71" t="s">
        <v>1044</v>
      </c>
      <c r="C3157" s="2">
        <v>4008321873828</v>
      </c>
      <c r="D3157" s="84"/>
      <c r="E3157" s="85"/>
      <c r="F3157" s="34" t="s">
        <v>1657</v>
      </c>
      <c r="G3157" s="161" t="str">
        <f>HYPERLINK("https://ledvance.com/pt/product-datasheet/7752/134280","Ficha Técnica")</f>
        <v>Ficha Técnica</v>
      </c>
      <c r="H3157" s="15">
        <v>20</v>
      </c>
      <c r="I3157" s="163"/>
      <c r="J3157" s="15">
        <v>58</v>
      </c>
      <c r="K3157" s="163" t="s">
        <v>46</v>
      </c>
      <c r="L3157" s="15"/>
      <c r="M3157" s="195">
        <v>38.299999999999997</v>
      </c>
      <c r="N3157" s="175" t="s">
        <v>964</v>
      </c>
    </row>
    <row r="3158" spans="1:14" x14ac:dyDescent="0.25">
      <c r="A3158" s="63" t="s">
        <v>1021</v>
      </c>
      <c r="B3158" s="71" t="s">
        <v>1045</v>
      </c>
      <c r="C3158" s="2">
        <v>4008321873842</v>
      </c>
      <c r="D3158" s="84"/>
      <c r="E3158" s="85"/>
      <c r="F3158" s="34" t="s">
        <v>1657</v>
      </c>
      <c r="G3158" s="161" t="str">
        <f>HYPERLINK("https://ledvance.com/pt/product-datasheet/7752/125463","Ficha Técnica")</f>
        <v>Ficha Técnica</v>
      </c>
      <c r="H3158" s="15">
        <v>20</v>
      </c>
      <c r="I3158" s="163"/>
      <c r="J3158" s="15">
        <v>106</v>
      </c>
      <c r="K3158" s="163" t="s">
        <v>46</v>
      </c>
      <c r="L3158" s="15"/>
      <c r="M3158" s="195">
        <v>42.9</v>
      </c>
      <c r="N3158" s="175" t="s">
        <v>964</v>
      </c>
    </row>
    <row r="3159" spans="1:14" x14ac:dyDescent="0.25">
      <c r="A3159" s="63" t="s">
        <v>1021</v>
      </c>
      <c r="B3159" s="71" t="s">
        <v>1046</v>
      </c>
      <c r="C3159" s="2">
        <v>4008321294203</v>
      </c>
      <c r="D3159" s="84"/>
      <c r="E3159" s="85"/>
      <c r="F3159" s="34" t="s">
        <v>1657</v>
      </c>
      <c r="G3159" s="161" t="str">
        <f>HYPERLINK("https://ledvance.com/pt/product-datasheet/7750/131798","Ficha Técnica")</f>
        <v>Ficha Técnica</v>
      </c>
      <c r="H3159" s="15">
        <v>20</v>
      </c>
      <c r="I3159" s="163"/>
      <c r="J3159" s="15">
        <v>36</v>
      </c>
      <c r="K3159" s="163" t="s">
        <v>46</v>
      </c>
      <c r="L3159" s="15"/>
      <c r="M3159" s="195">
        <v>43.1</v>
      </c>
      <c r="N3159" s="175" t="s">
        <v>964</v>
      </c>
    </row>
    <row r="3160" spans="1:14" x14ac:dyDescent="0.25">
      <c r="A3160" s="63" t="s">
        <v>1021</v>
      </c>
      <c r="B3160" s="71" t="s">
        <v>1047</v>
      </c>
      <c r="C3160" s="2">
        <v>4008321294227</v>
      </c>
      <c r="D3160" s="84"/>
      <c r="E3160" s="85"/>
      <c r="F3160" s="34" t="s">
        <v>1657</v>
      </c>
      <c r="G3160" s="161" t="str">
        <f>HYPERLINK("https://ledvance.com/pt/product-datasheet/7750/131802","Ficha Técnica")</f>
        <v>Ficha Técnica</v>
      </c>
      <c r="H3160" s="15">
        <v>20</v>
      </c>
      <c r="I3160" s="163"/>
      <c r="J3160" s="15">
        <v>55</v>
      </c>
      <c r="K3160" s="163" t="s">
        <v>46</v>
      </c>
      <c r="L3160" s="15"/>
      <c r="M3160" s="195">
        <v>43.1</v>
      </c>
      <c r="N3160" s="175" t="s">
        <v>964</v>
      </c>
    </row>
    <row r="3161" spans="1:14" x14ac:dyDescent="0.25">
      <c r="A3161" s="63" t="s">
        <v>1021</v>
      </c>
      <c r="B3161" s="71" t="s">
        <v>1048</v>
      </c>
      <c r="C3161" s="2">
        <v>4008321294241</v>
      </c>
      <c r="D3161" s="84"/>
      <c r="E3161" s="85"/>
      <c r="F3161" s="34" t="s">
        <v>1657</v>
      </c>
      <c r="G3161" s="161" t="str">
        <f>HYPERLINK("https://ledvance.com/pt/product-datasheet/7750/35916","Ficha Técnica")</f>
        <v>Ficha Técnica</v>
      </c>
      <c r="H3161" s="15">
        <v>20</v>
      </c>
      <c r="I3161" s="163"/>
      <c r="J3161" s="15">
        <v>35</v>
      </c>
      <c r="K3161" s="163" t="s">
        <v>46</v>
      </c>
      <c r="L3161" s="15"/>
      <c r="M3161" s="195">
        <v>47.3</v>
      </c>
      <c r="N3161" s="175" t="s">
        <v>964</v>
      </c>
    </row>
    <row r="3162" spans="1:14" x14ac:dyDescent="0.25">
      <c r="A3162" s="63" t="s">
        <v>1021</v>
      </c>
      <c r="B3162" s="71" t="s">
        <v>1049</v>
      </c>
      <c r="C3162" s="2">
        <v>4008321294265</v>
      </c>
      <c r="D3162" s="84"/>
      <c r="E3162" s="85"/>
      <c r="F3162" s="34" t="s">
        <v>1657</v>
      </c>
      <c r="G3162" s="161" t="str">
        <f>HYPERLINK("https://ledvance.com/pt/product-datasheet/7750/131807","Ficha Técnica")</f>
        <v>Ficha Técnica</v>
      </c>
      <c r="H3162" s="15">
        <v>20</v>
      </c>
      <c r="I3162" s="163"/>
      <c r="J3162" s="15">
        <v>72</v>
      </c>
      <c r="K3162" s="163" t="s">
        <v>46</v>
      </c>
      <c r="L3162" s="15"/>
      <c r="M3162" s="195">
        <v>47.3</v>
      </c>
      <c r="N3162" s="175" t="s">
        <v>964</v>
      </c>
    </row>
    <row r="3163" spans="1:14" x14ac:dyDescent="0.25">
      <c r="A3163" s="63" t="s">
        <v>1021</v>
      </c>
      <c r="B3163" s="71" t="s">
        <v>1050</v>
      </c>
      <c r="C3163" s="2">
        <v>4008321294289</v>
      </c>
      <c r="D3163" s="84"/>
      <c r="E3163" s="85"/>
      <c r="F3163" s="34" t="s">
        <v>1657</v>
      </c>
      <c r="G3163" s="161" t="str">
        <f>HYPERLINK("https://ledvance.com/pt/product-datasheet/7750/131793","Ficha Técnica")</f>
        <v>Ficha Técnica</v>
      </c>
      <c r="H3163" s="15">
        <v>20</v>
      </c>
      <c r="I3163" s="163"/>
      <c r="J3163" s="15">
        <v>110</v>
      </c>
      <c r="K3163" s="163" t="s">
        <v>46</v>
      </c>
      <c r="L3163" s="15"/>
      <c r="M3163" s="195">
        <v>47.3</v>
      </c>
      <c r="N3163" s="175" t="s">
        <v>964</v>
      </c>
    </row>
    <row r="3164" spans="1:14" x14ac:dyDescent="0.25">
      <c r="A3164" s="63" t="s">
        <v>1021</v>
      </c>
      <c r="B3164" s="71" t="s">
        <v>1051</v>
      </c>
      <c r="C3164" s="2">
        <v>4008321294302</v>
      </c>
      <c r="D3164" s="84"/>
      <c r="E3164" s="85"/>
      <c r="F3164" s="34" t="s">
        <v>1657</v>
      </c>
      <c r="G3164" s="161" t="str">
        <f>HYPERLINK("https://ledvance.com/pt/product-datasheet/7750/134255","Ficha Técnica")</f>
        <v>Ficha Técnica</v>
      </c>
      <c r="H3164" s="15">
        <v>20</v>
      </c>
      <c r="I3164" s="163"/>
      <c r="J3164" s="15">
        <v>73</v>
      </c>
      <c r="K3164" s="163" t="s">
        <v>46</v>
      </c>
      <c r="L3164" s="15"/>
      <c r="M3164" s="195">
        <v>49.5</v>
      </c>
      <c r="N3164" s="175" t="s">
        <v>964</v>
      </c>
    </row>
    <row r="3165" spans="1:14" x14ac:dyDescent="0.25">
      <c r="A3165" s="63" t="s">
        <v>1021</v>
      </c>
      <c r="B3165" s="71" t="s">
        <v>1052</v>
      </c>
      <c r="C3165" s="2">
        <v>4008321863263</v>
      </c>
      <c r="D3165" s="84"/>
      <c r="E3165" s="85"/>
      <c r="F3165" s="34" t="s">
        <v>1657</v>
      </c>
      <c r="G3165" s="161" t="str">
        <f>HYPERLINK("https://ledvance.com/pt/product-datasheet/7754/125754","Ficha Técnica")</f>
        <v>Ficha Técnica</v>
      </c>
      <c r="H3165" s="15">
        <v>20</v>
      </c>
      <c r="I3165" s="163"/>
      <c r="J3165" s="15">
        <v>19</v>
      </c>
      <c r="K3165" s="163" t="s">
        <v>46</v>
      </c>
      <c r="L3165" s="15"/>
      <c r="M3165" s="195">
        <v>26</v>
      </c>
      <c r="N3165" s="175" t="s">
        <v>964</v>
      </c>
    </row>
    <row r="3166" spans="1:14" x14ac:dyDescent="0.25">
      <c r="A3166" s="63" t="s">
        <v>1021</v>
      </c>
      <c r="B3166" s="71" t="s">
        <v>1053</v>
      </c>
      <c r="C3166" s="2">
        <v>4008321863287</v>
      </c>
      <c r="D3166" s="84"/>
      <c r="E3166" s="85"/>
      <c r="F3166" s="34" t="s">
        <v>1657</v>
      </c>
      <c r="G3166" s="161" t="str">
        <f>HYPERLINK("https://ledvance.com/pt/product-datasheet/7754/125760","Ficha Técnica")</f>
        <v>Ficha Técnica</v>
      </c>
      <c r="H3166" s="15">
        <v>20</v>
      </c>
      <c r="I3166" s="163"/>
      <c r="J3166" s="15">
        <v>36</v>
      </c>
      <c r="K3166" s="163" t="s">
        <v>46</v>
      </c>
      <c r="L3166" s="15"/>
      <c r="M3166" s="195">
        <v>24.8</v>
      </c>
      <c r="N3166" s="175" t="s">
        <v>964</v>
      </c>
    </row>
    <row r="3167" spans="1:14" x14ac:dyDescent="0.25">
      <c r="A3167" s="63" t="s">
        <v>1021</v>
      </c>
      <c r="B3167" s="71" t="s">
        <v>1054</v>
      </c>
      <c r="C3167" s="2">
        <v>4008321863362</v>
      </c>
      <c r="D3167" s="84"/>
      <c r="E3167" s="85"/>
      <c r="F3167" s="34" t="s">
        <v>1657</v>
      </c>
      <c r="G3167" s="161" t="str">
        <f>HYPERLINK("https://ledvance.com/pt/product-datasheet/7754/126324","Ficha Técnica")</f>
        <v>Ficha Técnica</v>
      </c>
      <c r="H3167" s="15">
        <v>20</v>
      </c>
      <c r="I3167" s="163"/>
      <c r="J3167" s="15">
        <v>72</v>
      </c>
      <c r="K3167" s="163" t="s">
        <v>46</v>
      </c>
      <c r="L3167" s="15"/>
      <c r="M3167" s="195">
        <v>29.8</v>
      </c>
      <c r="N3167" s="175" t="s">
        <v>964</v>
      </c>
    </row>
    <row r="3168" spans="1:14" x14ac:dyDescent="0.25">
      <c r="A3168" s="63" t="s">
        <v>1021</v>
      </c>
      <c r="B3168" s="71" t="s">
        <v>1055</v>
      </c>
      <c r="C3168" s="2">
        <v>4008321110022</v>
      </c>
      <c r="D3168" s="84"/>
      <c r="E3168" s="85"/>
      <c r="F3168" s="34" t="s">
        <v>1657</v>
      </c>
      <c r="G3168" s="161" t="str">
        <f>HYPERLINK("https://ledvance.com/pt/product-datasheet/7765/130733","Ficha Técnica")</f>
        <v>Ficha Técnica</v>
      </c>
      <c r="H3168" s="15">
        <v>20</v>
      </c>
      <c r="I3168" s="163"/>
      <c r="J3168" s="15">
        <v>84</v>
      </c>
      <c r="K3168" s="163" t="s">
        <v>46</v>
      </c>
      <c r="L3168" s="15"/>
      <c r="M3168" s="195">
        <v>94.3</v>
      </c>
      <c r="N3168" s="175" t="s">
        <v>964</v>
      </c>
    </row>
    <row r="3169" spans="1:14" x14ac:dyDescent="0.25">
      <c r="A3169" s="63" t="s">
        <v>1021</v>
      </c>
      <c r="B3169" s="71" t="s">
        <v>1056</v>
      </c>
      <c r="C3169" s="2">
        <v>4050300821504</v>
      </c>
      <c r="D3169" s="84"/>
      <c r="E3169" s="85"/>
      <c r="F3169" s="34" t="s">
        <v>1657</v>
      </c>
      <c r="G3169" s="161" t="str">
        <f>HYPERLINK("https://ledvance.com/pt/product-datasheet/7760/128095","Ficha Técnica")</f>
        <v>Ficha Técnica</v>
      </c>
      <c r="H3169" s="15">
        <v>50</v>
      </c>
      <c r="I3169" s="163"/>
      <c r="J3169" s="15">
        <v>23</v>
      </c>
      <c r="K3169" s="163" t="s">
        <v>46</v>
      </c>
      <c r="L3169" s="15"/>
      <c r="M3169" s="195">
        <v>71.900000000000006</v>
      </c>
      <c r="N3169" s="175" t="s">
        <v>964</v>
      </c>
    </row>
    <row r="3170" spans="1:14" x14ac:dyDescent="0.25">
      <c r="A3170" s="66" t="s">
        <v>1021</v>
      </c>
      <c r="B3170" s="79" t="s">
        <v>1057</v>
      </c>
      <c r="C3170" s="51"/>
      <c r="D3170" s="65"/>
      <c r="E3170" s="86"/>
      <c r="F3170" s="12"/>
      <c r="G3170" s="157"/>
      <c r="H3170" s="49"/>
      <c r="I3170" s="165"/>
      <c r="J3170" s="49"/>
      <c r="K3170" s="165"/>
      <c r="L3170" s="49"/>
      <c r="M3170" s="191"/>
      <c r="N3170" s="130"/>
    </row>
    <row r="3171" spans="1:14" x14ac:dyDescent="0.25">
      <c r="A3171" s="63" t="s">
        <v>1021</v>
      </c>
      <c r="B3171" s="71" t="s">
        <v>1058</v>
      </c>
      <c r="C3171" s="2">
        <v>4008321073112</v>
      </c>
      <c r="D3171" s="84"/>
      <c r="E3171" s="85"/>
      <c r="F3171" s="34" t="s">
        <v>1657</v>
      </c>
      <c r="G3171" s="161" t="str">
        <f>HYPERLINK("https://ledvance.com/pt/product-datasheet/7782/130848","Ficha Técnica")</f>
        <v>Ficha Técnica</v>
      </c>
      <c r="H3171" s="15">
        <v>20</v>
      </c>
      <c r="I3171" s="163"/>
      <c r="J3171" s="15">
        <v>43</v>
      </c>
      <c r="K3171" s="163" t="s">
        <v>46</v>
      </c>
      <c r="L3171" s="15"/>
      <c r="M3171" s="195">
        <v>108.5</v>
      </c>
      <c r="N3171" s="175" t="s">
        <v>964</v>
      </c>
    </row>
    <row r="3172" spans="1:14" x14ac:dyDescent="0.25">
      <c r="A3172" s="63" t="s">
        <v>1021</v>
      </c>
      <c r="B3172" s="71" t="s">
        <v>1059</v>
      </c>
      <c r="C3172" s="2">
        <v>4008321955906</v>
      </c>
      <c r="D3172" s="84"/>
      <c r="E3172" s="85"/>
      <c r="F3172" s="34" t="s">
        <v>1657</v>
      </c>
      <c r="G3172" s="161" t="str">
        <f>HYPERLINK("https://ledvance.com/pt/product-datasheet/7782/126381","Ficha Técnica")</f>
        <v>Ficha Técnica</v>
      </c>
      <c r="H3172" s="15">
        <v>20</v>
      </c>
      <c r="I3172" s="163"/>
      <c r="J3172" s="15">
        <v>43</v>
      </c>
      <c r="K3172" s="163" t="s">
        <v>46</v>
      </c>
      <c r="L3172" s="15"/>
      <c r="M3172" s="195">
        <v>103.7</v>
      </c>
      <c r="N3172" s="175" t="s">
        <v>964</v>
      </c>
    </row>
    <row r="3173" spans="1:14" x14ac:dyDescent="0.25">
      <c r="A3173" s="63" t="s">
        <v>1021</v>
      </c>
      <c r="B3173" s="71" t="s">
        <v>1060</v>
      </c>
      <c r="C3173" s="2">
        <v>4008321049629</v>
      </c>
      <c r="D3173" s="84"/>
      <c r="E3173" s="85"/>
      <c r="F3173" s="34" t="s">
        <v>1657</v>
      </c>
      <c r="G3173" s="161" t="str">
        <f>HYPERLINK("https://ledvance.com/pt/product-datasheet/7782/130855","Ficha Técnica")</f>
        <v>Ficha Técnica</v>
      </c>
      <c r="H3173" s="15">
        <v>20</v>
      </c>
      <c r="I3173" s="163"/>
      <c r="J3173" s="15">
        <v>79</v>
      </c>
      <c r="K3173" s="163" t="s">
        <v>46</v>
      </c>
      <c r="L3173" s="15"/>
      <c r="M3173" s="195">
        <v>108.5</v>
      </c>
      <c r="N3173" s="175" t="s">
        <v>964</v>
      </c>
    </row>
    <row r="3174" spans="1:14" x14ac:dyDescent="0.25">
      <c r="A3174" s="63" t="s">
        <v>1021</v>
      </c>
      <c r="B3174" s="71" t="s">
        <v>1061</v>
      </c>
      <c r="C3174" s="2">
        <v>4008321099488</v>
      </c>
      <c r="D3174" s="84"/>
      <c r="E3174" s="85"/>
      <c r="F3174" s="34" t="s">
        <v>1657</v>
      </c>
      <c r="G3174" s="161" t="str">
        <f>HYPERLINK("https://ledvance.com/pt/product-datasheet/7784/130858","Ficha Técnica")</f>
        <v>Ficha Técnica</v>
      </c>
      <c r="H3174" s="15">
        <v>20</v>
      </c>
      <c r="I3174" s="163"/>
      <c r="J3174" s="15">
        <v>43</v>
      </c>
      <c r="K3174" s="163" t="s">
        <v>46</v>
      </c>
      <c r="L3174" s="15"/>
      <c r="M3174" s="195">
        <v>113.2</v>
      </c>
      <c r="N3174" s="175" t="s">
        <v>964</v>
      </c>
    </row>
    <row r="3175" spans="1:14" x14ac:dyDescent="0.25">
      <c r="A3175" s="63" t="s">
        <v>1021</v>
      </c>
      <c r="B3175" s="71" t="s">
        <v>1062</v>
      </c>
      <c r="C3175" s="2">
        <v>4008321099501</v>
      </c>
      <c r="D3175" s="84"/>
      <c r="E3175" s="85"/>
      <c r="F3175" s="34" t="s">
        <v>1657</v>
      </c>
      <c r="G3175" s="161" t="str">
        <f>HYPERLINK("https://ledvance.com/pt/product-datasheet/7784/130865","Ficha Técnica")</f>
        <v>Ficha Técnica</v>
      </c>
      <c r="H3175" s="15">
        <v>20</v>
      </c>
      <c r="I3175" s="163"/>
      <c r="J3175" s="15">
        <v>79</v>
      </c>
      <c r="K3175" s="163" t="s">
        <v>46</v>
      </c>
      <c r="L3175" s="15"/>
      <c r="M3175" s="195">
        <v>113.2</v>
      </c>
      <c r="N3175" s="175" t="s">
        <v>964</v>
      </c>
    </row>
    <row r="3176" spans="1:14" x14ac:dyDescent="0.25">
      <c r="A3176" s="63" t="s">
        <v>1021</v>
      </c>
      <c r="B3176" s="71" t="s">
        <v>1063</v>
      </c>
      <c r="C3176" s="2">
        <v>4008321915535</v>
      </c>
      <c r="D3176" s="84"/>
      <c r="E3176" s="85"/>
      <c r="F3176" s="34" t="s">
        <v>1657</v>
      </c>
      <c r="G3176" s="161" t="str">
        <f>HYPERLINK("https://ledvance.com/pt/product-datasheet/7784/125023","Ficha Técnica")</f>
        <v>Ficha Técnica</v>
      </c>
      <c r="H3176" s="15">
        <v>20</v>
      </c>
      <c r="I3176" s="163"/>
      <c r="J3176" s="15">
        <v>160</v>
      </c>
      <c r="K3176" s="163" t="s">
        <v>46</v>
      </c>
      <c r="L3176" s="15"/>
      <c r="M3176" s="195">
        <v>186.7</v>
      </c>
      <c r="N3176" s="175" t="s">
        <v>964</v>
      </c>
    </row>
    <row r="3177" spans="1:14" x14ac:dyDescent="0.25">
      <c r="A3177" s="63" t="s">
        <v>1021</v>
      </c>
      <c r="B3177" s="71" t="s">
        <v>1064</v>
      </c>
      <c r="C3177" s="2">
        <v>4008321386625</v>
      </c>
      <c r="D3177" s="84"/>
      <c r="E3177" s="85"/>
      <c r="F3177" s="34" t="s">
        <v>1657</v>
      </c>
      <c r="G3177" s="161" t="str">
        <f>HYPERLINK("https://ledvance.com/pt/product-datasheet/7785/131038","Ficha Técnica")</f>
        <v>Ficha Técnica</v>
      </c>
      <c r="H3177" s="15">
        <v>20</v>
      </c>
      <c r="I3177" s="163"/>
      <c r="J3177" s="15">
        <v>43</v>
      </c>
      <c r="K3177" s="163" t="s">
        <v>46</v>
      </c>
      <c r="L3177" s="15"/>
      <c r="M3177" s="195">
        <v>79.099999999999994</v>
      </c>
      <c r="N3177" s="175" t="s">
        <v>964</v>
      </c>
    </row>
    <row r="3178" spans="1:14" x14ac:dyDescent="0.25">
      <c r="A3178" s="63" t="s">
        <v>1021</v>
      </c>
      <c r="B3178" s="71" t="s">
        <v>1065</v>
      </c>
      <c r="C3178" s="2">
        <v>4008321386649</v>
      </c>
      <c r="D3178" s="84"/>
      <c r="E3178" s="85"/>
      <c r="F3178" s="34" t="s">
        <v>1657</v>
      </c>
      <c r="G3178" s="161" t="str">
        <f>HYPERLINK("https://ledvance.com/pt/product-datasheet/7785/131041","Ficha Técnica")</f>
        <v>Ficha Técnica</v>
      </c>
      <c r="H3178" s="15">
        <v>20</v>
      </c>
      <c r="I3178" s="163"/>
      <c r="J3178" s="15">
        <v>80</v>
      </c>
      <c r="K3178" s="163" t="s">
        <v>46</v>
      </c>
      <c r="L3178" s="15"/>
      <c r="M3178" s="195">
        <v>79.099999999999994</v>
      </c>
      <c r="N3178" s="175" t="s">
        <v>964</v>
      </c>
    </row>
    <row r="3179" spans="1:14" x14ac:dyDescent="0.25">
      <c r="A3179" s="63" t="s">
        <v>1021</v>
      </c>
      <c r="B3179" s="71" t="s">
        <v>1066</v>
      </c>
      <c r="C3179" s="2">
        <v>4008321377661</v>
      </c>
      <c r="D3179" s="84"/>
      <c r="E3179" s="85"/>
      <c r="F3179" s="34" t="s">
        <v>1657</v>
      </c>
      <c r="G3179" s="161" t="str">
        <f>HYPERLINK("https://ledvance.com/pt/product-datasheet/7786/131044","Ficha Técnica")</f>
        <v>Ficha Técnica</v>
      </c>
      <c r="H3179" s="15">
        <v>20</v>
      </c>
      <c r="I3179" s="163"/>
      <c r="J3179" s="15">
        <v>43</v>
      </c>
      <c r="K3179" s="163" t="s">
        <v>46</v>
      </c>
      <c r="L3179" s="15"/>
      <c r="M3179" s="195">
        <v>89.9</v>
      </c>
      <c r="N3179" s="175" t="s">
        <v>964</v>
      </c>
    </row>
    <row r="3180" spans="1:14" x14ac:dyDescent="0.25">
      <c r="A3180" s="63" t="s">
        <v>1021</v>
      </c>
      <c r="B3180" s="71" t="s">
        <v>1067</v>
      </c>
      <c r="C3180" s="2">
        <v>4008321377685</v>
      </c>
      <c r="D3180" s="84"/>
      <c r="E3180" s="85"/>
      <c r="F3180" s="34" t="s">
        <v>1657</v>
      </c>
      <c r="G3180" s="161" t="str">
        <f>HYPERLINK("https://ledvance.com/pt/product-datasheet/7786/131048","Ficha Técnica")</f>
        <v>Ficha Técnica</v>
      </c>
      <c r="H3180" s="15">
        <v>20</v>
      </c>
      <c r="I3180" s="163"/>
      <c r="J3180" s="15">
        <v>80</v>
      </c>
      <c r="K3180" s="163" t="s">
        <v>46</v>
      </c>
      <c r="L3180" s="15"/>
      <c r="M3180" s="195">
        <v>89.9</v>
      </c>
      <c r="N3180" s="175" t="s">
        <v>964</v>
      </c>
    </row>
    <row r="3181" spans="1:14" x14ac:dyDescent="0.25">
      <c r="A3181" s="66" t="s">
        <v>1021</v>
      </c>
      <c r="B3181" s="79" t="s">
        <v>1068</v>
      </c>
      <c r="C3181" s="51"/>
      <c r="D3181" s="65"/>
      <c r="E3181" s="86"/>
      <c r="F3181" s="12"/>
      <c r="G3181" s="157"/>
      <c r="H3181" s="49"/>
      <c r="I3181" s="165"/>
      <c r="J3181" s="49"/>
      <c r="K3181" s="165"/>
      <c r="L3181" s="49"/>
      <c r="M3181" s="191"/>
      <c r="N3181" s="130"/>
    </row>
    <row r="3182" spans="1:14" x14ac:dyDescent="0.25">
      <c r="A3182" s="63" t="s">
        <v>1021</v>
      </c>
      <c r="B3182" s="71" t="s">
        <v>1069</v>
      </c>
      <c r="C3182" s="2">
        <v>4008321420633</v>
      </c>
      <c r="D3182" s="84"/>
      <c r="E3182" s="85"/>
      <c r="F3182" s="34" t="s">
        <v>1657</v>
      </c>
      <c r="G3182" s="161" t="str">
        <f>HYPERLINK("https://ledvance.com/pt/product-datasheet/7792/128629","Ficha Técnica")</f>
        <v>Ficha Técnica</v>
      </c>
      <c r="H3182" s="15">
        <v>10</v>
      </c>
      <c r="I3182" s="163"/>
      <c r="J3182" s="15">
        <v>108</v>
      </c>
      <c r="K3182" s="163" t="s">
        <v>46</v>
      </c>
      <c r="L3182" s="15"/>
      <c r="M3182" s="195">
        <v>159.80000000000001</v>
      </c>
      <c r="N3182" s="175" t="s">
        <v>964</v>
      </c>
    </row>
    <row r="3183" spans="1:14" x14ac:dyDescent="0.25">
      <c r="A3183" s="63" t="s">
        <v>1021</v>
      </c>
      <c r="B3183" s="71" t="s">
        <v>1070</v>
      </c>
      <c r="C3183" s="2">
        <v>4008321927026</v>
      </c>
      <c r="D3183" s="84"/>
      <c r="E3183" s="85"/>
      <c r="F3183" s="34" t="s">
        <v>1657</v>
      </c>
      <c r="G3183" s="161" t="str">
        <f>HYPERLINK("https://ledvance.com/pt/product-datasheet/7793/129974","Ficha Técnica")</f>
        <v>Ficha Técnica</v>
      </c>
      <c r="H3183" s="15">
        <v>10</v>
      </c>
      <c r="I3183" s="163"/>
      <c r="J3183" s="15">
        <v>230</v>
      </c>
      <c r="K3183" s="163" t="s">
        <v>46</v>
      </c>
      <c r="L3183" s="15"/>
      <c r="M3183" s="195">
        <v>164.2</v>
      </c>
      <c r="N3183" s="175" t="s">
        <v>964</v>
      </c>
    </row>
    <row r="3184" spans="1:14" x14ac:dyDescent="0.25">
      <c r="A3184" s="63" t="s">
        <v>1021</v>
      </c>
      <c r="B3184" s="71" t="s">
        <v>1071</v>
      </c>
      <c r="C3184" s="2">
        <v>4050300442310</v>
      </c>
      <c r="D3184" s="84"/>
      <c r="E3184" s="85"/>
      <c r="F3184" s="34" t="s">
        <v>1657</v>
      </c>
      <c r="G3184" s="161" t="str">
        <f>HYPERLINK("https://ledvance.com/pt/product-datasheet/7794/126375","Ficha Técnica")</f>
        <v>Ficha Técnica</v>
      </c>
      <c r="H3184" s="15">
        <v>20</v>
      </c>
      <c r="I3184" s="163"/>
      <c r="J3184" s="15">
        <v>74</v>
      </c>
      <c r="K3184" s="163" t="s">
        <v>46</v>
      </c>
      <c r="L3184" s="15"/>
      <c r="M3184" s="195">
        <v>44.1</v>
      </c>
      <c r="N3184" s="175" t="s">
        <v>964</v>
      </c>
    </row>
    <row r="3185" spans="1:14" x14ac:dyDescent="0.25">
      <c r="A3185" s="63" t="s">
        <v>1021</v>
      </c>
      <c r="B3185" s="71" t="s">
        <v>1072</v>
      </c>
      <c r="C3185" s="2">
        <v>4050300442334</v>
      </c>
      <c r="D3185" s="84"/>
      <c r="E3185" s="85"/>
      <c r="F3185" s="34" t="s">
        <v>1657</v>
      </c>
      <c r="G3185" s="161" t="str">
        <f>HYPERLINK("https://ledvance.com/pt/product-datasheet/7794/126372","Ficha Técnica")</f>
        <v>Ficha Técnica</v>
      </c>
      <c r="H3185" s="15">
        <v>20</v>
      </c>
      <c r="I3185" s="163"/>
      <c r="J3185" s="15">
        <v>111</v>
      </c>
      <c r="K3185" s="163" t="s">
        <v>46</v>
      </c>
      <c r="L3185" s="15"/>
      <c r="M3185" s="195">
        <v>48.6</v>
      </c>
      <c r="N3185" s="175" t="s">
        <v>964</v>
      </c>
    </row>
    <row r="3186" spans="1:14" x14ac:dyDescent="0.25">
      <c r="A3186" s="63" t="s">
        <v>1021</v>
      </c>
      <c r="B3186" s="71" t="s">
        <v>1073</v>
      </c>
      <c r="C3186" s="2">
        <v>4050300581415</v>
      </c>
      <c r="D3186" s="84"/>
      <c r="E3186" s="85"/>
      <c r="F3186" s="34" t="s">
        <v>1657</v>
      </c>
      <c r="G3186" s="161" t="str">
        <f>HYPERLINK("https://ledvance.com/pt/product-datasheet/7794/130984","Ficha Técnica")</f>
        <v>Ficha Técnica</v>
      </c>
      <c r="H3186" s="15">
        <v>10</v>
      </c>
      <c r="I3186" s="163"/>
      <c r="J3186" s="15">
        <v>157</v>
      </c>
      <c r="K3186" s="163" t="s">
        <v>46</v>
      </c>
      <c r="L3186" s="15"/>
      <c r="M3186" s="195">
        <v>79.099999999999994</v>
      </c>
      <c r="N3186" s="175" t="s">
        <v>964</v>
      </c>
    </row>
    <row r="3187" spans="1:14" x14ac:dyDescent="0.25">
      <c r="A3187" s="63" t="s">
        <v>1021</v>
      </c>
      <c r="B3187" s="71" t="s">
        <v>1074</v>
      </c>
      <c r="C3187" s="2">
        <v>4008321073037</v>
      </c>
      <c r="D3187" s="84"/>
      <c r="E3187" s="85"/>
      <c r="F3187" s="34" t="s">
        <v>1657</v>
      </c>
      <c r="G3187" s="161" t="str">
        <f>HYPERLINK("https://ledvance.com/pt/product-datasheet/7794/136655","Ficha Técnica")</f>
        <v>Ficha Técnica</v>
      </c>
      <c r="H3187" s="15">
        <v>20</v>
      </c>
      <c r="I3187" s="163"/>
      <c r="J3187" s="15">
        <v>79</v>
      </c>
      <c r="K3187" s="163" t="s">
        <v>46</v>
      </c>
      <c r="L3187" s="15"/>
      <c r="M3187" s="195">
        <v>63.3</v>
      </c>
      <c r="N3187" s="175" t="s">
        <v>964</v>
      </c>
    </row>
    <row r="3188" spans="1:14" x14ac:dyDescent="0.25">
      <c r="A3188" s="63" t="s">
        <v>1021</v>
      </c>
      <c r="B3188" s="71" t="s">
        <v>1075</v>
      </c>
      <c r="C3188" s="2">
        <v>4008321111593</v>
      </c>
      <c r="D3188" s="84"/>
      <c r="E3188" s="85"/>
      <c r="F3188" s="34" t="s">
        <v>1657</v>
      </c>
      <c r="G3188" s="161" t="str">
        <f>HYPERLINK("https://ledvance.com/pt/product-datasheet/7795/136658","Ficha Técnica")</f>
        <v>Ficha Técnica</v>
      </c>
      <c r="H3188" s="15">
        <v>50</v>
      </c>
      <c r="I3188" s="163"/>
      <c r="J3188" s="15">
        <v>74</v>
      </c>
      <c r="K3188" s="163" t="s">
        <v>46</v>
      </c>
      <c r="L3188" s="15"/>
      <c r="M3188" s="195">
        <v>27.1</v>
      </c>
      <c r="N3188" s="175" t="s">
        <v>964</v>
      </c>
    </row>
    <row r="3189" spans="1:14" x14ac:dyDescent="0.25">
      <c r="A3189" s="63" t="s">
        <v>1021</v>
      </c>
      <c r="B3189" s="71" t="s">
        <v>1076</v>
      </c>
      <c r="C3189" s="2">
        <v>4008321111579</v>
      </c>
      <c r="D3189" s="84"/>
      <c r="E3189" s="85"/>
      <c r="F3189" s="34" t="s">
        <v>1657</v>
      </c>
      <c r="G3189" s="161" t="str">
        <f>HYPERLINK("https://ledvance.com/pt/product-datasheet/7795/136662","Ficha Técnica")</f>
        <v>Ficha Técnica</v>
      </c>
      <c r="H3189" s="15">
        <v>50</v>
      </c>
      <c r="I3189" s="163"/>
      <c r="J3189" s="15">
        <v>111</v>
      </c>
      <c r="K3189" s="163" t="s">
        <v>46</v>
      </c>
      <c r="L3189" s="15"/>
      <c r="M3189" s="195">
        <v>28.9</v>
      </c>
      <c r="N3189" s="175" t="s">
        <v>964</v>
      </c>
    </row>
    <row r="3190" spans="1:14" x14ac:dyDescent="0.25">
      <c r="A3190" s="63" t="s">
        <v>1021</v>
      </c>
      <c r="B3190" s="71" t="s">
        <v>1077</v>
      </c>
      <c r="C3190" s="2">
        <v>4008321957344</v>
      </c>
      <c r="D3190" s="84"/>
      <c r="E3190" s="85"/>
      <c r="F3190" s="34" t="s">
        <v>1657</v>
      </c>
      <c r="G3190" s="161" t="str">
        <f>HYPERLINK("https://ledvance.com/pt/product-datasheet/7798/126617","Ficha Técnica")</f>
        <v>Ficha Técnica</v>
      </c>
      <c r="H3190" s="15">
        <v>25</v>
      </c>
      <c r="I3190" s="163"/>
      <c r="J3190" s="15">
        <v>315</v>
      </c>
      <c r="K3190" s="163" t="s">
        <v>46</v>
      </c>
      <c r="L3190" s="15"/>
      <c r="M3190" s="195">
        <v>595</v>
      </c>
      <c r="N3190" s="175" t="s">
        <v>964</v>
      </c>
    </row>
    <row r="3191" spans="1:14" ht="23.25" x14ac:dyDescent="0.25">
      <c r="A3191" s="178"/>
      <c r="B3191" s="182" t="s">
        <v>2231</v>
      </c>
      <c r="C3191" s="51"/>
      <c r="D3191" s="12"/>
      <c r="E3191" s="12"/>
      <c r="F3191" s="12"/>
      <c r="G3191" s="45"/>
      <c r="H3191" s="12"/>
      <c r="I3191" s="12"/>
      <c r="J3191" s="27"/>
      <c r="K3191" s="12"/>
      <c r="L3191" s="12"/>
      <c r="M3191" s="191"/>
      <c r="N3191" s="168"/>
    </row>
    <row r="3192" spans="1:14" x14ac:dyDescent="0.25">
      <c r="A3192" s="66" t="s">
        <v>103</v>
      </c>
      <c r="B3192" s="79" t="s">
        <v>1078</v>
      </c>
      <c r="C3192" s="51"/>
      <c r="D3192" s="65"/>
      <c r="E3192" s="86"/>
      <c r="F3192" s="12"/>
      <c r="G3192" s="157"/>
      <c r="H3192" s="49"/>
      <c r="I3192" s="165"/>
      <c r="J3192" s="49"/>
      <c r="K3192" s="165"/>
      <c r="L3192" s="49"/>
      <c r="M3192" s="191"/>
      <c r="N3192" s="130"/>
    </row>
    <row r="3193" spans="1:14" x14ac:dyDescent="0.25">
      <c r="A3193" s="63" t="s">
        <v>103</v>
      </c>
      <c r="B3193" s="71" t="s">
        <v>1079</v>
      </c>
      <c r="C3193" s="2">
        <v>4062172177900</v>
      </c>
      <c r="D3193" s="84"/>
      <c r="E3193" s="85"/>
      <c r="F3193" s="34" t="s">
        <v>1657</v>
      </c>
      <c r="G3193" s="161" t="str">
        <f>HYPERLINK("https://ledvance.com/pt/product-datasheet/7653/180598","Ficha Técnica")</f>
        <v>Ficha Técnica</v>
      </c>
      <c r="H3193" s="15">
        <v>20</v>
      </c>
      <c r="I3193" s="163"/>
      <c r="J3193" s="15">
        <v>50</v>
      </c>
      <c r="K3193" s="163" t="s">
        <v>46</v>
      </c>
      <c r="L3193" s="15"/>
      <c r="M3193" s="188">
        <v>147.4</v>
      </c>
      <c r="N3193" s="169" t="s">
        <v>11</v>
      </c>
    </row>
    <row r="3194" spans="1:14" x14ac:dyDescent="0.25">
      <c r="A3194" s="63" t="s">
        <v>103</v>
      </c>
      <c r="B3194" s="77" t="s">
        <v>1080</v>
      </c>
      <c r="C3194" s="2">
        <v>4062172274289</v>
      </c>
      <c r="D3194" s="103"/>
      <c r="E3194" s="104"/>
      <c r="F3194" s="34" t="s">
        <v>1657</v>
      </c>
      <c r="G3194" s="161" t="str">
        <f>HYPERLINK("https://ledvance.com/pt/product-datasheet/7653/220102","Ficha Técnica")</f>
        <v>Ficha Técnica</v>
      </c>
      <c r="H3194" s="15">
        <v>20</v>
      </c>
      <c r="I3194" s="163"/>
      <c r="J3194" s="15">
        <v>50</v>
      </c>
      <c r="K3194" s="163" t="s">
        <v>46</v>
      </c>
      <c r="L3194" s="15"/>
      <c r="M3194" s="188">
        <v>136.5</v>
      </c>
      <c r="N3194" s="169" t="s">
        <v>11</v>
      </c>
    </row>
    <row r="3195" spans="1:14" x14ac:dyDescent="0.25">
      <c r="A3195" s="63" t="s">
        <v>103</v>
      </c>
      <c r="B3195" s="71" t="s">
        <v>1081</v>
      </c>
      <c r="C3195" s="2">
        <v>4062172177924</v>
      </c>
      <c r="D3195" s="84"/>
      <c r="E3195" s="85"/>
      <c r="F3195" s="34" t="s">
        <v>1657</v>
      </c>
      <c r="G3195" s="161" t="str">
        <f>HYPERLINK("https://ledvance.com/pt/product-datasheet/7653/180595","Ficha Técnica")</f>
        <v>Ficha Técnica</v>
      </c>
      <c r="H3195" s="15">
        <v>20</v>
      </c>
      <c r="I3195" s="163"/>
      <c r="J3195" s="15">
        <v>80</v>
      </c>
      <c r="K3195" s="163" t="s">
        <v>46</v>
      </c>
      <c r="L3195" s="15"/>
      <c r="M3195" s="188">
        <v>180</v>
      </c>
      <c r="N3195" s="169" t="s">
        <v>11</v>
      </c>
    </row>
    <row r="3196" spans="1:14" x14ac:dyDescent="0.25">
      <c r="A3196" s="63" t="s">
        <v>103</v>
      </c>
      <c r="B3196" s="77" t="s">
        <v>1082</v>
      </c>
      <c r="C3196" s="2">
        <v>4062172274302</v>
      </c>
      <c r="D3196" s="103"/>
      <c r="E3196" s="104"/>
      <c r="F3196" s="34" t="s">
        <v>1657</v>
      </c>
      <c r="G3196" s="161" t="str">
        <f>HYPERLINK("https://ledvance.com/pt/product-datasheet/7653/219031","Ficha Técnica")</f>
        <v>Ficha Técnica</v>
      </c>
      <c r="H3196" s="15">
        <v>20</v>
      </c>
      <c r="I3196" s="163"/>
      <c r="J3196" s="15">
        <v>80</v>
      </c>
      <c r="K3196" s="163" t="s">
        <v>46</v>
      </c>
      <c r="L3196" s="15"/>
      <c r="M3196" s="188">
        <v>179</v>
      </c>
      <c r="N3196" s="169" t="s">
        <v>11</v>
      </c>
    </row>
    <row r="3197" spans="1:14" x14ac:dyDescent="0.25">
      <c r="A3197" s="63" t="s">
        <v>103</v>
      </c>
      <c r="B3197" s="71" t="s">
        <v>1083</v>
      </c>
      <c r="C3197" s="2">
        <v>4062172177948</v>
      </c>
      <c r="D3197" s="84"/>
      <c r="E3197" s="104"/>
      <c r="F3197" s="34" t="s">
        <v>1657</v>
      </c>
      <c r="G3197" s="161" t="str">
        <f>HYPERLINK("https://ledvance.com/pt/product-datasheet/7653/171804","Ficha Técnica")</f>
        <v>Ficha Técnica</v>
      </c>
      <c r="H3197" s="15">
        <v>20</v>
      </c>
      <c r="I3197" s="163"/>
      <c r="J3197" s="15">
        <v>160</v>
      </c>
      <c r="K3197" s="163" t="s">
        <v>46</v>
      </c>
      <c r="L3197" s="15"/>
      <c r="M3197" s="188">
        <v>310</v>
      </c>
      <c r="N3197" s="169" t="s">
        <v>11</v>
      </c>
    </row>
    <row r="3198" spans="1:14" x14ac:dyDescent="0.25">
      <c r="A3198" s="63" t="s">
        <v>103</v>
      </c>
      <c r="B3198" s="77" t="s">
        <v>1084</v>
      </c>
      <c r="C3198" s="2">
        <v>4062172274326</v>
      </c>
      <c r="D3198" s="103"/>
      <c r="E3198" s="104"/>
      <c r="F3198" s="34" t="s">
        <v>1657</v>
      </c>
      <c r="G3198" s="161" t="str">
        <f>HYPERLINK("https://ledvance.com/pt/product-datasheet/7653/220105","Ficha Técnica")</f>
        <v>Ficha Técnica</v>
      </c>
      <c r="H3198" s="15">
        <v>20</v>
      </c>
      <c r="I3198" s="163"/>
      <c r="J3198" s="15">
        <v>160</v>
      </c>
      <c r="K3198" s="163" t="s">
        <v>46</v>
      </c>
      <c r="L3198" s="15"/>
      <c r="M3198" s="188">
        <v>279.39999999999998</v>
      </c>
      <c r="N3198" s="169" t="s">
        <v>11</v>
      </c>
    </row>
    <row r="3199" spans="1:14" x14ac:dyDescent="0.25">
      <c r="A3199" s="63" t="s">
        <v>103</v>
      </c>
      <c r="B3199" s="71" t="s">
        <v>1085</v>
      </c>
      <c r="C3199" s="2">
        <v>4062172032087</v>
      </c>
      <c r="D3199" s="103"/>
      <c r="E3199" s="127"/>
      <c r="F3199" s="34" t="s">
        <v>1657</v>
      </c>
      <c r="G3199" s="161" t="str">
        <f>HYPERLINK("https://ledvance.com/pt/product-datasheet/7654/128056","Ficha Técnica")</f>
        <v>Ficha Técnica</v>
      </c>
      <c r="H3199" s="15">
        <v>6</v>
      </c>
      <c r="I3199" s="163"/>
      <c r="J3199" s="15">
        <v>210</v>
      </c>
      <c r="K3199" s="163" t="s">
        <v>1086</v>
      </c>
      <c r="L3199" s="15"/>
      <c r="M3199" s="188">
        <v>449.9</v>
      </c>
      <c r="N3199" s="169" t="s">
        <v>11</v>
      </c>
    </row>
    <row r="3200" spans="1:14" x14ac:dyDescent="0.25">
      <c r="A3200" s="66" t="s">
        <v>103</v>
      </c>
      <c r="B3200" s="79" t="s">
        <v>1087</v>
      </c>
      <c r="C3200" s="51"/>
      <c r="D3200" s="65"/>
      <c r="E3200" s="86"/>
      <c r="F3200" s="12"/>
      <c r="G3200" s="157"/>
      <c r="H3200" s="49"/>
      <c r="I3200" s="165"/>
      <c r="J3200" s="49"/>
      <c r="K3200" s="165"/>
      <c r="L3200" s="49"/>
      <c r="M3200" s="191"/>
      <c r="N3200" s="130"/>
    </row>
    <row r="3201" spans="1:14" x14ac:dyDescent="0.25">
      <c r="A3201" s="63" t="s">
        <v>103</v>
      </c>
      <c r="B3201" s="71" t="s">
        <v>1088</v>
      </c>
      <c r="C3201" s="2">
        <v>4052899545885</v>
      </c>
      <c r="D3201" s="103"/>
      <c r="E3201" s="127"/>
      <c r="F3201" s="34" t="s">
        <v>1657</v>
      </c>
      <c r="G3201" s="161" t="str">
        <f>HYPERLINK("https://ledvance.com/pt/product-datasheet/7715/132083","Ficha Técnica")</f>
        <v>Ficha Técnica</v>
      </c>
      <c r="H3201" s="15">
        <v>10</v>
      </c>
      <c r="I3201" s="163"/>
      <c r="J3201" s="15">
        <v>140</v>
      </c>
      <c r="K3201" s="163" t="s">
        <v>1086</v>
      </c>
      <c r="L3201" s="15"/>
      <c r="M3201" s="188">
        <v>146.9</v>
      </c>
      <c r="N3201" s="169" t="s">
        <v>11</v>
      </c>
    </row>
    <row r="3202" spans="1:14" x14ac:dyDescent="0.25">
      <c r="A3202" s="63" t="s">
        <v>103</v>
      </c>
      <c r="B3202" s="71" t="s">
        <v>1089</v>
      </c>
      <c r="C3202" s="2">
        <v>4052899545908</v>
      </c>
      <c r="D3202" s="103"/>
      <c r="E3202" s="127"/>
      <c r="F3202" s="34" t="s">
        <v>1657</v>
      </c>
      <c r="G3202" s="161" t="str">
        <f>HYPERLINK("https://ledvance.com/pt/product-datasheet/7715/132086","Ficha Técnica")</f>
        <v>Ficha Técnica</v>
      </c>
      <c r="H3202" s="15">
        <v>10</v>
      </c>
      <c r="I3202" s="163"/>
      <c r="J3202" s="15">
        <v>250</v>
      </c>
      <c r="K3202" s="163" t="s">
        <v>1086</v>
      </c>
      <c r="L3202" s="15"/>
      <c r="M3202" s="188">
        <v>204</v>
      </c>
      <c r="N3202" s="169" t="s">
        <v>11</v>
      </c>
    </row>
    <row r="3203" spans="1:14" x14ac:dyDescent="0.25">
      <c r="A3203" s="66" t="s">
        <v>103</v>
      </c>
      <c r="B3203" s="79" t="s">
        <v>1090</v>
      </c>
      <c r="C3203" s="51"/>
      <c r="D3203" s="65"/>
      <c r="E3203" s="86"/>
      <c r="F3203" s="12"/>
      <c r="G3203" s="157"/>
      <c r="H3203" s="49"/>
      <c r="I3203" s="165"/>
      <c r="J3203" s="49"/>
      <c r="K3203" s="165"/>
      <c r="L3203" s="49"/>
      <c r="M3203" s="191"/>
      <c r="N3203" s="130"/>
    </row>
    <row r="3204" spans="1:14" x14ac:dyDescent="0.25">
      <c r="A3204" s="63" t="s">
        <v>103</v>
      </c>
      <c r="B3204" s="71" t="s">
        <v>1091</v>
      </c>
      <c r="C3204" s="2">
        <v>4050300618111</v>
      </c>
      <c r="D3204" s="103"/>
      <c r="E3204" s="127"/>
      <c r="F3204" s="34" t="s">
        <v>1657</v>
      </c>
      <c r="G3204" s="161" t="str">
        <f>HYPERLINK("https://ledvance.com/pt/product-datasheet/7663/125015","Ficha Técnica")</f>
        <v>Ficha Técnica</v>
      </c>
      <c r="H3204" s="15">
        <v>20</v>
      </c>
      <c r="I3204" s="163"/>
      <c r="J3204" s="15">
        <v>20</v>
      </c>
      <c r="K3204" s="163" t="s">
        <v>46</v>
      </c>
      <c r="L3204" s="15"/>
      <c r="M3204" s="188">
        <v>29.9</v>
      </c>
      <c r="N3204" s="169" t="s">
        <v>11</v>
      </c>
    </row>
    <row r="3205" spans="1:14" x14ac:dyDescent="0.25">
      <c r="A3205" s="63" t="s">
        <v>103</v>
      </c>
      <c r="B3205" s="71" t="s">
        <v>1092</v>
      </c>
      <c r="C3205" s="2">
        <v>4052899545984</v>
      </c>
      <c r="D3205" s="103"/>
      <c r="E3205" s="127"/>
      <c r="F3205" s="34" t="s">
        <v>1657</v>
      </c>
      <c r="G3205" s="161" t="str">
        <f>HYPERLINK("https://ledvance.com/pt/product-datasheet/7710/127767","Ficha Técnica")</f>
        <v>Ficha Técnica</v>
      </c>
      <c r="H3205" s="15">
        <v>10</v>
      </c>
      <c r="I3205" s="163"/>
      <c r="J3205" s="15">
        <v>106</v>
      </c>
      <c r="K3205" s="163" t="s">
        <v>1086</v>
      </c>
      <c r="L3205" s="15"/>
      <c r="M3205" s="188">
        <v>123</v>
      </c>
      <c r="N3205" s="169" t="s">
        <v>11</v>
      </c>
    </row>
    <row r="3206" spans="1:14" x14ac:dyDescent="0.25">
      <c r="A3206" s="63" t="s">
        <v>103</v>
      </c>
      <c r="B3206" s="71" t="s">
        <v>1093</v>
      </c>
      <c r="C3206" s="2">
        <v>4052899546004</v>
      </c>
      <c r="D3206" s="103"/>
      <c r="E3206" s="127"/>
      <c r="F3206" s="34" t="s">
        <v>1657</v>
      </c>
      <c r="G3206" s="161" t="str">
        <f>HYPERLINK("https://ledvance.com/pt/product-datasheet/7710/127770","Ficha Técnica")</f>
        <v>Ficha Técnica</v>
      </c>
      <c r="H3206" s="15">
        <v>10</v>
      </c>
      <c r="I3206" s="163"/>
      <c r="J3206" s="15">
        <v>140</v>
      </c>
      <c r="K3206" s="163" t="s">
        <v>1086</v>
      </c>
      <c r="L3206" s="15"/>
      <c r="M3206" s="188">
        <v>133.19999999999999</v>
      </c>
      <c r="N3206" s="169" t="s">
        <v>11</v>
      </c>
    </row>
    <row r="3207" spans="1:14" x14ac:dyDescent="0.25">
      <c r="A3207" s="63" t="s">
        <v>103</v>
      </c>
      <c r="B3207" s="71" t="s">
        <v>1094</v>
      </c>
      <c r="C3207" s="2">
        <v>4052899546028</v>
      </c>
      <c r="D3207" s="103"/>
      <c r="E3207" s="127"/>
      <c r="F3207" s="34" t="s">
        <v>1657</v>
      </c>
      <c r="G3207" s="161" t="str">
        <f>HYPERLINK("https://ledvance.com/pt/product-datasheet/7710/127773","Ficha Técnica")</f>
        <v>Ficha Técnica</v>
      </c>
      <c r="H3207" s="15">
        <v>10</v>
      </c>
      <c r="I3207" s="163"/>
      <c r="J3207" s="15">
        <v>2250</v>
      </c>
      <c r="K3207" s="163" t="s">
        <v>1086</v>
      </c>
      <c r="L3207" s="15"/>
      <c r="M3207" s="188">
        <v>192.5</v>
      </c>
      <c r="N3207" s="169" t="s">
        <v>11</v>
      </c>
    </row>
    <row r="3208" spans="1:14" x14ac:dyDescent="0.25">
      <c r="A3208" s="63" t="s">
        <v>103</v>
      </c>
      <c r="B3208" s="71" t="s">
        <v>1095</v>
      </c>
      <c r="C3208" s="2">
        <v>4062172135733</v>
      </c>
      <c r="D3208" s="84"/>
      <c r="E3208" s="85"/>
      <c r="F3208" s="34" t="s">
        <v>1657</v>
      </c>
      <c r="G3208" s="161" t="str">
        <f>HYPERLINK("https://ledvance.com/pt/product-datasheet/7663/162862","Ficha Técnica")</f>
        <v>Ficha Técnica</v>
      </c>
      <c r="H3208" s="15">
        <v>50</v>
      </c>
      <c r="I3208" s="163"/>
      <c r="J3208" s="15">
        <v>35</v>
      </c>
      <c r="K3208" s="163" t="s">
        <v>46</v>
      </c>
      <c r="L3208" s="15"/>
      <c r="M3208" s="188">
        <v>47.1</v>
      </c>
      <c r="N3208" s="169" t="s">
        <v>11</v>
      </c>
    </row>
    <row r="3209" spans="1:14" x14ac:dyDescent="0.25">
      <c r="A3209" s="63" t="s">
        <v>103</v>
      </c>
      <c r="B3209" s="71" t="s">
        <v>1096</v>
      </c>
      <c r="C3209" s="2">
        <v>4062172135856</v>
      </c>
      <c r="D3209" s="84"/>
      <c r="E3209" s="85"/>
      <c r="F3209" s="34" t="s">
        <v>1657</v>
      </c>
      <c r="G3209" s="161" t="str">
        <f>HYPERLINK("https://ledvance.com/pt/product-datasheet/7663/162865","Ficha Técnica")</f>
        <v>Ficha Técnica</v>
      </c>
      <c r="H3209" s="15">
        <v>30</v>
      </c>
      <c r="I3209" s="163"/>
      <c r="J3209" s="15">
        <v>68</v>
      </c>
      <c r="K3209" s="163" t="s">
        <v>46</v>
      </c>
      <c r="L3209" s="15"/>
      <c r="M3209" s="188">
        <v>61.7</v>
      </c>
      <c r="N3209" s="169" t="s">
        <v>11</v>
      </c>
    </row>
    <row r="3210" spans="1:14" x14ac:dyDescent="0.25">
      <c r="A3210" s="63" t="s">
        <v>103</v>
      </c>
      <c r="B3210" s="71" t="s">
        <v>1097</v>
      </c>
      <c r="C3210" s="2">
        <v>4062172135870</v>
      </c>
      <c r="D3210" s="84"/>
      <c r="E3210" s="85"/>
      <c r="F3210" s="34" t="s">
        <v>1657</v>
      </c>
      <c r="G3210" s="161" t="str">
        <f>HYPERLINK("https://ledvance.com/pt/product-datasheet/7663/162874","Ficha Técnica")</f>
        <v>Ficha Técnica</v>
      </c>
      <c r="H3210" s="15">
        <v>30</v>
      </c>
      <c r="I3210" s="163"/>
      <c r="J3210" s="15">
        <v>110</v>
      </c>
      <c r="K3210" s="163" t="s">
        <v>46</v>
      </c>
      <c r="L3210" s="15"/>
      <c r="M3210" s="188">
        <v>85.7</v>
      </c>
      <c r="N3210" s="169" t="s">
        <v>11</v>
      </c>
    </row>
    <row r="3211" spans="1:14" x14ac:dyDescent="0.25">
      <c r="A3211" s="63" t="s">
        <v>103</v>
      </c>
      <c r="B3211" s="71" t="s">
        <v>1098</v>
      </c>
      <c r="C3211" s="2">
        <v>4062172135894</v>
      </c>
      <c r="D3211" s="84"/>
      <c r="E3211" s="85"/>
      <c r="F3211" s="34" t="s">
        <v>1657</v>
      </c>
      <c r="G3211" s="161" t="str">
        <f>HYPERLINK("https://ledvance.com/pt/product-datasheet/7663/162868","Ficha Técnica")</f>
        <v>Ficha Técnica</v>
      </c>
      <c r="H3211" s="15">
        <v>30</v>
      </c>
      <c r="I3211" s="163"/>
      <c r="J3211" s="15">
        <v>174</v>
      </c>
      <c r="K3211" s="163" t="s">
        <v>46</v>
      </c>
      <c r="L3211" s="15"/>
      <c r="M3211" s="188">
        <v>108.7</v>
      </c>
      <c r="N3211" s="169" t="s">
        <v>11</v>
      </c>
    </row>
    <row r="3212" spans="1:14" x14ac:dyDescent="0.25">
      <c r="A3212" s="63" t="s">
        <v>103</v>
      </c>
      <c r="B3212" s="71" t="s">
        <v>1099</v>
      </c>
      <c r="C3212" s="2">
        <v>4062172135917</v>
      </c>
      <c r="D3212" s="84"/>
      <c r="E3212" s="85"/>
      <c r="F3212" s="34" t="s">
        <v>1657</v>
      </c>
      <c r="G3212" s="161" t="str">
        <f>HYPERLINK("https://ledvance.com/pt/product-datasheet/7663/162871","Ficha Técnica")</f>
        <v>Ficha Técnica</v>
      </c>
      <c r="H3212" s="15">
        <v>10</v>
      </c>
      <c r="I3212" s="163"/>
      <c r="J3212" s="15">
        <v>272</v>
      </c>
      <c r="K3212" s="163" t="s">
        <v>46</v>
      </c>
      <c r="L3212" s="15"/>
      <c r="M3212" s="188">
        <v>171.4</v>
      </c>
      <c r="N3212" s="169" t="s">
        <v>11</v>
      </c>
    </row>
    <row r="3213" spans="1:14" x14ac:dyDescent="0.25">
      <c r="A3213" s="66" t="s">
        <v>103</v>
      </c>
      <c r="B3213" s="79" t="s">
        <v>1100</v>
      </c>
      <c r="C3213" s="51"/>
      <c r="D3213" s="65"/>
      <c r="E3213" s="86"/>
      <c r="F3213" s="12"/>
      <c r="G3213" s="157"/>
      <c r="H3213" s="49"/>
      <c r="I3213" s="165"/>
      <c r="J3213" s="49"/>
      <c r="K3213" s="165"/>
      <c r="L3213" s="49"/>
      <c r="M3213" s="191"/>
      <c r="N3213" s="130"/>
    </row>
    <row r="3214" spans="1:14" x14ac:dyDescent="0.25">
      <c r="A3214" s="63" t="s">
        <v>103</v>
      </c>
      <c r="B3214" s="71" t="s">
        <v>1101</v>
      </c>
      <c r="C3214" s="2">
        <v>4052899557833</v>
      </c>
      <c r="D3214" s="103"/>
      <c r="E3214" s="127"/>
      <c r="F3214" s="34" t="s">
        <v>1657</v>
      </c>
      <c r="G3214" s="161" t="str">
        <f>HYPERLINK("https://ledvance.com/pt/product-datasheet/7677/126318","Ficha Técnica")</f>
        <v>Ficha Técnica</v>
      </c>
      <c r="H3214" s="15">
        <v>20</v>
      </c>
      <c r="I3214" s="163"/>
      <c r="J3214" s="15">
        <v>240</v>
      </c>
      <c r="K3214" s="163" t="s">
        <v>46</v>
      </c>
      <c r="L3214" s="15"/>
      <c r="M3214" s="188">
        <v>399.9</v>
      </c>
      <c r="N3214" s="169" t="s">
        <v>11</v>
      </c>
    </row>
    <row r="3215" spans="1:14" x14ac:dyDescent="0.25">
      <c r="A3215" s="63" t="s">
        <v>103</v>
      </c>
      <c r="B3215" s="71" t="s">
        <v>1102</v>
      </c>
      <c r="C3215" s="2">
        <v>4062172046558</v>
      </c>
      <c r="D3215" s="103"/>
      <c r="E3215" s="127"/>
      <c r="F3215" s="34" t="s">
        <v>1657</v>
      </c>
      <c r="G3215" s="161" t="str">
        <f>HYPERLINK("https://ledvance.com/pt/product-datasheet/7655/138214","Ficha Técnica")</f>
        <v>Ficha Técnica</v>
      </c>
      <c r="H3215" s="15">
        <v>20</v>
      </c>
      <c r="I3215" s="163"/>
      <c r="J3215" s="15">
        <v>80</v>
      </c>
      <c r="K3215" s="163" t="s">
        <v>46</v>
      </c>
      <c r="L3215" s="15"/>
      <c r="M3215" s="188">
        <v>328.3</v>
      </c>
      <c r="N3215" s="169" t="s">
        <v>11</v>
      </c>
    </row>
    <row r="3216" spans="1:14" x14ac:dyDescent="0.25">
      <c r="A3216" s="66" t="s">
        <v>103</v>
      </c>
      <c r="B3216" s="79" t="s">
        <v>1103</v>
      </c>
      <c r="C3216" s="51"/>
      <c r="D3216" s="65"/>
      <c r="E3216" s="86"/>
      <c r="F3216" s="12"/>
      <c r="G3216" s="157"/>
      <c r="H3216" s="49"/>
      <c r="I3216" s="165"/>
      <c r="J3216" s="49"/>
      <c r="K3216" s="165"/>
      <c r="L3216" s="49"/>
      <c r="M3216" s="191"/>
      <c r="N3216" s="130"/>
    </row>
    <row r="3217" spans="1:14" x14ac:dyDescent="0.25">
      <c r="A3217" s="63" t="s">
        <v>103</v>
      </c>
      <c r="B3217" s="71" t="s">
        <v>1104</v>
      </c>
      <c r="C3217" s="2">
        <v>4062172166010</v>
      </c>
      <c r="D3217" s="103"/>
      <c r="E3217" s="127"/>
      <c r="F3217" s="34" t="s">
        <v>1657</v>
      </c>
      <c r="G3217" s="161" t="str">
        <f>HYPERLINK("https://ledvance.com/pt/product-datasheet/209439/188176","Ficha Técnica")</f>
        <v>Ficha Técnica</v>
      </c>
      <c r="H3217" s="15">
        <v>20</v>
      </c>
      <c r="I3217" s="163"/>
      <c r="J3217" s="15">
        <v>120</v>
      </c>
      <c r="K3217" s="163" t="s">
        <v>46</v>
      </c>
      <c r="L3217" s="15"/>
      <c r="M3217" s="188">
        <v>86.3</v>
      </c>
      <c r="N3217" s="169" t="s">
        <v>11</v>
      </c>
    </row>
    <row r="3218" spans="1:14" x14ac:dyDescent="0.25">
      <c r="A3218" s="66" t="s">
        <v>103</v>
      </c>
      <c r="B3218" s="79" t="s">
        <v>1105</v>
      </c>
      <c r="C3218" s="51"/>
      <c r="D3218" s="65"/>
      <c r="E3218" s="86"/>
      <c r="F3218" s="12"/>
      <c r="G3218" s="157"/>
      <c r="H3218" s="49"/>
      <c r="I3218" s="165"/>
      <c r="J3218" s="49"/>
      <c r="K3218" s="165"/>
      <c r="L3218" s="49"/>
      <c r="M3218" s="191"/>
      <c r="N3218" s="130"/>
    </row>
    <row r="3219" spans="1:14" x14ac:dyDescent="0.25">
      <c r="A3219" s="63" t="s">
        <v>103</v>
      </c>
      <c r="B3219" s="71" t="s">
        <v>3948</v>
      </c>
      <c r="C3219" s="2">
        <v>4052899557949</v>
      </c>
      <c r="D3219" s="103"/>
      <c r="E3219" s="127"/>
      <c r="F3219" s="34" t="s">
        <v>1657</v>
      </c>
      <c r="G3219" s="161" t="str">
        <f>HYPERLINK("https://ledvance.com/pt/product-datasheet/7679/128306","Ficha Técnica")</f>
        <v>Ficha Técnica</v>
      </c>
      <c r="H3219" s="15">
        <v>20</v>
      </c>
      <c r="I3219" s="163"/>
      <c r="J3219" s="15">
        <v>180</v>
      </c>
      <c r="K3219" s="163" t="s">
        <v>46</v>
      </c>
      <c r="L3219" s="15"/>
      <c r="M3219" s="188">
        <v>372.3</v>
      </c>
      <c r="N3219" s="169" t="s">
        <v>11</v>
      </c>
    </row>
    <row r="3220" spans="1:14" x14ac:dyDescent="0.25">
      <c r="A3220" s="66" t="s">
        <v>103</v>
      </c>
      <c r="B3220" s="79" t="s">
        <v>1106</v>
      </c>
      <c r="C3220" s="51"/>
      <c r="D3220" s="65"/>
      <c r="E3220" s="86"/>
      <c r="F3220" s="12"/>
      <c r="G3220" s="157"/>
      <c r="H3220" s="49"/>
      <c r="I3220" s="165"/>
      <c r="J3220" s="49"/>
      <c r="K3220" s="165"/>
      <c r="L3220" s="49"/>
      <c r="M3220" s="191"/>
      <c r="N3220" s="130"/>
    </row>
    <row r="3221" spans="1:14" x14ac:dyDescent="0.25">
      <c r="A3221" s="63" t="s">
        <v>103</v>
      </c>
      <c r="B3221" s="71" t="s">
        <v>1107</v>
      </c>
      <c r="C3221" s="2">
        <v>4050300943459</v>
      </c>
      <c r="D3221" s="103"/>
      <c r="E3221" s="127"/>
      <c r="F3221" s="34" t="s">
        <v>1657</v>
      </c>
      <c r="G3221" s="161" t="str">
        <f>HYPERLINK("https://ledvance.com/pt/product-datasheet/7680/137521","Ficha Técnica")</f>
        <v>Ficha Técnica</v>
      </c>
      <c r="H3221" s="15">
        <v>20</v>
      </c>
      <c r="I3221" s="163"/>
      <c r="J3221" s="15">
        <v>144</v>
      </c>
      <c r="K3221" s="163" t="s">
        <v>46</v>
      </c>
      <c r="L3221" s="15"/>
      <c r="M3221" s="188">
        <v>71.400000000000006</v>
      </c>
      <c r="N3221" s="169" t="s">
        <v>11</v>
      </c>
    </row>
    <row r="3222" spans="1:14" x14ac:dyDescent="0.25">
      <c r="A3222" s="63" t="s">
        <v>103</v>
      </c>
      <c r="B3222" s="71" t="s">
        <v>2005</v>
      </c>
      <c r="C3222" s="2">
        <v>4062172218955</v>
      </c>
      <c r="D3222" s="103"/>
      <c r="E3222" s="127"/>
      <c r="F3222" s="34" t="s">
        <v>1657</v>
      </c>
      <c r="G3222" s="161" t="s">
        <v>2004</v>
      </c>
      <c r="H3222" s="15">
        <v>18</v>
      </c>
      <c r="I3222" s="163"/>
      <c r="J3222" s="15">
        <v>40</v>
      </c>
      <c r="K3222" s="163" t="s">
        <v>46</v>
      </c>
      <c r="L3222" s="15"/>
      <c r="M3222" s="188">
        <v>84.8</v>
      </c>
      <c r="N3222" s="169" t="s">
        <v>11</v>
      </c>
    </row>
    <row r="3223" spans="1:14" x14ac:dyDescent="0.25">
      <c r="A3223" s="63" t="s">
        <v>103</v>
      </c>
      <c r="B3223" s="71" t="s">
        <v>1108</v>
      </c>
      <c r="C3223" s="2">
        <v>4052899173781</v>
      </c>
      <c r="D3223" s="103"/>
      <c r="E3223" s="127"/>
      <c r="F3223" s="34" t="s">
        <v>1657</v>
      </c>
      <c r="G3223" s="161" t="str">
        <f>HYPERLINK("https://ledvance.com/pt/product-datasheet/7705/127264","Ficha Técnica")</f>
        <v>Ficha Técnica</v>
      </c>
      <c r="H3223" s="15">
        <v>20</v>
      </c>
      <c r="I3223" s="163"/>
      <c r="J3223" s="15">
        <v>50</v>
      </c>
      <c r="K3223" s="163" t="s">
        <v>1109</v>
      </c>
      <c r="L3223" s="15"/>
      <c r="M3223" s="188">
        <v>72.2</v>
      </c>
      <c r="N3223" s="169" t="s">
        <v>11</v>
      </c>
    </row>
    <row r="3224" spans="1:14" x14ac:dyDescent="0.25">
      <c r="A3224" s="63" t="s">
        <v>103</v>
      </c>
      <c r="B3224" s="71" t="s">
        <v>1110</v>
      </c>
      <c r="C3224" s="2">
        <v>4052899173804</v>
      </c>
      <c r="D3224" s="103"/>
      <c r="E3224" s="127"/>
      <c r="F3224" s="34" t="s">
        <v>1657</v>
      </c>
      <c r="G3224" s="161" t="str">
        <f>HYPERLINK("https://ledvance.com/pt/product-datasheet/7705/128708","Ficha Técnica")</f>
        <v>Ficha Técnica</v>
      </c>
      <c r="H3224" s="15">
        <v>20</v>
      </c>
      <c r="I3224" s="163"/>
      <c r="J3224" s="15">
        <v>50</v>
      </c>
      <c r="K3224" s="163" t="s">
        <v>1109</v>
      </c>
      <c r="L3224" s="15"/>
      <c r="M3224" s="188">
        <v>73.5</v>
      </c>
      <c r="N3224" s="169" t="s">
        <v>11</v>
      </c>
    </row>
    <row r="3225" spans="1:14" x14ac:dyDescent="0.25">
      <c r="A3225" s="63" t="s">
        <v>103</v>
      </c>
      <c r="B3225" s="71" t="s">
        <v>2006</v>
      </c>
      <c r="C3225" s="2">
        <v>4062172218993</v>
      </c>
      <c r="D3225" s="103"/>
      <c r="E3225" s="127"/>
      <c r="F3225" s="34" t="s">
        <v>1657</v>
      </c>
      <c r="G3225" s="161" t="s">
        <v>2004</v>
      </c>
      <c r="H3225" s="15">
        <v>18</v>
      </c>
      <c r="I3225" s="163"/>
      <c r="J3225" s="15">
        <v>75</v>
      </c>
      <c r="K3225" s="163" t="s">
        <v>46</v>
      </c>
      <c r="L3225" s="15"/>
      <c r="M3225" s="188">
        <v>95.3</v>
      </c>
      <c r="N3225" s="169" t="s">
        <v>11</v>
      </c>
    </row>
    <row r="3226" spans="1:14" x14ac:dyDescent="0.25">
      <c r="A3226" s="63" t="s">
        <v>103</v>
      </c>
      <c r="B3226" s="71" t="s">
        <v>1111</v>
      </c>
      <c r="C3226" s="2">
        <v>4052899253438</v>
      </c>
      <c r="D3226" s="103"/>
      <c r="E3226" s="127"/>
      <c r="F3226" s="34" t="s">
        <v>1657</v>
      </c>
      <c r="G3226" s="161" t="str">
        <f>HYPERLINK("https://ledvance.com/pt/product-datasheet/7705/128715","Ficha Técnica")</f>
        <v>Ficha Técnica</v>
      </c>
      <c r="H3226" s="15">
        <v>20</v>
      </c>
      <c r="I3226" s="163"/>
      <c r="J3226" s="15">
        <v>110</v>
      </c>
      <c r="K3226" s="163" t="s">
        <v>1109</v>
      </c>
      <c r="L3226" s="15"/>
      <c r="M3226" s="188">
        <v>85.4</v>
      </c>
      <c r="N3226" s="169" t="s">
        <v>11</v>
      </c>
    </row>
    <row r="3227" spans="1:14" x14ac:dyDescent="0.25">
      <c r="A3227" s="63" t="s">
        <v>103</v>
      </c>
      <c r="B3227" s="71" t="s">
        <v>2007</v>
      </c>
      <c r="C3227" s="2">
        <v>4062172219037</v>
      </c>
      <c r="D3227" s="103"/>
      <c r="E3227" s="127"/>
      <c r="F3227" s="34" t="s">
        <v>1657</v>
      </c>
      <c r="G3227" s="161" t="s">
        <v>2004</v>
      </c>
      <c r="H3227" s="15">
        <v>18</v>
      </c>
      <c r="I3227" s="163"/>
      <c r="J3227" s="15">
        <v>110</v>
      </c>
      <c r="K3227" s="163" t="s">
        <v>46</v>
      </c>
      <c r="L3227" s="15"/>
      <c r="M3227" s="188">
        <v>107.3</v>
      </c>
      <c r="N3227" s="169" t="s">
        <v>11</v>
      </c>
    </row>
    <row r="3228" spans="1:14" x14ac:dyDescent="0.25">
      <c r="A3228" s="63" t="s">
        <v>103</v>
      </c>
      <c r="B3228" s="71" t="s">
        <v>2008</v>
      </c>
      <c r="C3228" s="2">
        <v>4062172219075</v>
      </c>
      <c r="D3228" s="103"/>
      <c r="E3228" s="127"/>
      <c r="F3228" s="34" t="s">
        <v>1657</v>
      </c>
      <c r="G3228" s="161" t="s">
        <v>2004</v>
      </c>
      <c r="H3228" s="15">
        <v>20</v>
      </c>
      <c r="I3228" s="163"/>
      <c r="J3228" s="15">
        <v>165</v>
      </c>
      <c r="K3228" s="163" t="s">
        <v>46</v>
      </c>
      <c r="L3228" s="15"/>
      <c r="M3228" s="188">
        <v>125.1</v>
      </c>
      <c r="N3228" s="169" t="s">
        <v>11</v>
      </c>
    </row>
    <row r="3229" spans="1:14" x14ac:dyDescent="0.25">
      <c r="A3229" s="66" t="s">
        <v>556</v>
      </c>
      <c r="B3229" s="79" t="s">
        <v>2118</v>
      </c>
      <c r="C3229" s="51"/>
      <c r="D3229" s="65"/>
      <c r="E3229" s="86"/>
      <c r="F3229" s="12"/>
      <c r="G3229" s="157"/>
      <c r="H3229" s="12"/>
      <c r="I3229" s="62"/>
      <c r="J3229" s="27"/>
      <c r="K3229" s="62"/>
      <c r="L3229" s="12"/>
      <c r="M3229" s="191"/>
      <c r="N3229" s="130"/>
    </row>
    <row r="3230" spans="1:14" x14ac:dyDescent="0.25">
      <c r="A3230" s="63" t="s">
        <v>556</v>
      </c>
      <c r="B3230" s="71" t="s">
        <v>1112</v>
      </c>
      <c r="C3230" s="2">
        <v>4052899089570</v>
      </c>
      <c r="D3230" s="103"/>
      <c r="E3230" s="127"/>
      <c r="F3230" s="34" t="s">
        <v>1657</v>
      </c>
      <c r="G3230" s="161" t="str">
        <f>HYPERLINK("https://ledvance.com/pt/product-datasheet/7689/130022","Ficha Técnica")</f>
        <v>Ficha Técnica</v>
      </c>
      <c r="H3230" s="15">
        <v>20</v>
      </c>
      <c r="I3230" s="163"/>
      <c r="J3230" s="15"/>
      <c r="K3230" s="163" t="s">
        <v>46</v>
      </c>
      <c r="L3230" s="15"/>
      <c r="M3230" s="188">
        <v>3</v>
      </c>
      <c r="N3230" s="169" t="s">
        <v>11</v>
      </c>
    </row>
    <row r="3231" spans="1:14" x14ac:dyDescent="0.25">
      <c r="A3231" s="63" t="s">
        <v>556</v>
      </c>
      <c r="B3231" s="71" t="s">
        <v>1113</v>
      </c>
      <c r="C3231" s="2">
        <v>4052899077881</v>
      </c>
      <c r="D3231" s="103"/>
      <c r="E3231" s="127"/>
      <c r="F3231" s="34" t="s">
        <v>1657</v>
      </c>
      <c r="G3231" s="161" t="str">
        <f>HYPERLINK("https://ledvance.com/pt/product-datasheet/7689/130016","Ficha Técnica")</f>
        <v>Ficha Técnica</v>
      </c>
      <c r="H3231" s="15">
        <v>20</v>
      </c>
      <c r="I3231" s="163"/>
      <c r="J3231" s="15"/>
      <c r="K3231" s="163"/>
      <c r="L3231" s="15"/>
      <c r="M3231" s="188">
        <v>3</v>
      </c>
      <c r="N3231" s="169" t="s">
        <v>11</v>
      </c>
    </row>
    <row r="3232" spans="1:14" x14ac:dyDescent="0.25">
      <c r="A3232" s="63" t="s">
        <v>556</v>
      </c>
      <c r="B3232" s="71" t="s">
        <v>1114</v>
      </c>
      <c r="C3232" s="2">
        <v>4052899077904</v>
      </c>
      <c r="D3232" s="103"/>
      <c r="E3232" s="119"/>
      <c r="F3232" s="34" t="s">
        <v>1657</v>
      </c>
      <c r="G3232" s="161" t="str">
        <f>HYPERLINK("https://ledvance.com/pt/product-datasheet/7689/130019","Ficha Técnica")</f>
        <v>Ficha Técnica</v>
      </c>
      <c r="H3232" s="15">
        <v>40</v>
      </c>
      <c r="I3232" s="163"/>
      <c r="J3232" s="15"/>
      <c r="K3232" s="163"/>
      <c r="L3232" s="15"/>
      <c r="M3232" s="188">
        <v>4.5</v>
      </c>
      <c r="N3232" s="169" t="s">
        <v>11</v>
      </c>
    </row>
    <row r="3233" spans="1:14" x14ac:dyDescent="0.25">
      <c r="A3233" s="63" t="s">
        <v>556</v>
      </c>
      <c r="B3233" s="78" t="s">
        <v>1115</v>
      </c>
      <c r="C3233" s="4">
        <v>4052899167896</v>
      </c>
      <c r="D3233" s="146"/>
      <c r="E3233" s="147"/>
      <c r="F3233" s="34" t="s">
        <v>1657</v>
      </c>
      <c r="G3233" s="161" t="str">
        <f>HYPERLINK("https://ledvance.com/pt/product-datasheet/7689/139371","Ficha Técnica")</f>
        <v>Ficha Técnica</v>
      </c>
      <c r="H3233" s="15">
        <v>20</v>
      </c>
      <c r="I3233" s="163"/>
      <c r="J3233" s="15"/>
      <c r="K3233" s="163"/>
      <c r="L3233" s="15"/>
      <c r="M3233" s="188">
        <v>2.4</v>
      </c>
      <c r="N3233" s="169" t="s">
        <v>11</v>
      </c>
    </row>
    <row r="3234" spans="1:14" x14ac:dyDescent="0.25">
      <c r="A3234" s="63" t="s">
        <v>556</v>
      </c>
      <c r="B3234" s="71" t="s">
        <v>1116</v>
      </c>
      <c r="C3234" s="2">
        <v>4052899325555</v>
      </c>
      <c r="D3234" s="103"/>
      <c r="E3234" s="127"/>
      <c r="F3234" s="34" t="s">
        <v>1657</v>
      </c>
      <c r="G3234" s="161" t="str">
        <f>HYPERLINK("https://ledvance.com/pt/product-datasheet/7689/134696","Ficha Técnica")</f>
        <v>Ficha Técnica</v>
      </c>
      <c r="H3234" s="15">
        <v>20</v>
      </c>
      <c r="I3234" s="163"/>
      <c r="J3234" s="15"/>
      <c r="K3234" s="163" t="s">
        <v>46</v>
      </c>
      <c r="L3234" s="15"/>
      <c r="M3234" s="188">
        <v>2.4</v>
      </c>
      <c r="N3234" s="169" t="s">
        <v>11</v>
      </c>
    </row>
    <row r="3235" spans="1:14" x14ac:dyDescent="0.25">
      <c r="A3235" s="63" t="s">
        <v>556</v>
      </c>
      <c r="B3235" s="71" t="s">
        <v>1117</v>
      </c>
      <c r="C3235" s="2">
        <v>4052899325982</v>
      </c>
      <c r="D3235" s="103"/>
      <c r="E3235" s="127"/>
      <c r="F3235" s="34" t="s">
        <v>1657</v>
      </c>
      <c r="G3235" s="161" t="str">
        <f>HYPERLINK("https://ledvance.com/pt/product-datasheet/7689/125340","Ficha Técnica")</f>
        <v>Ficha Técnica</v>
      </c>
      <c r="H3235" s="15">
        <v>20</v>
      </c>
      <c r="I3235" s="163"/>
      <c r="J3235" s="15"/>
      <c r="K3235" s="163" t="s">
        <v>46</v>
      </c>
      <c r="L3235" s="15"/>
      <c r="M3235" s="188">
        <v>8.3000000000000007</v>
      </c>
      <c r="N3235" s="169" t="s">
        <v>11</v>
      </c>
    </row>
    <row r="3236" spans="1:14" x14ac:dyDescent="0.25">
      <c r="A3236" s="63" t="s">
        <v>556</v>
      </c>
      <c r="B3236" s="71" t="s">
        <v>1118</v>
      </c>
      <c r="C3236" s="2">
        <v>4052899948051</v>
      </c>
      <c r="D3236" s="103"/>
      <c r="E3236" s="127"/>
      <c r="F3236" s="34" t="s">
        <v>1657</v>
      </c>
      <c r="G3236" s="161" t="str">
        <f>HYPERLINK("https://ledvance.com/pt/product-datasheet/7689/126646","Ficha Técnica")</f>
        <v>Ficha Técnica</v>
      </c>
      <c r="H3236" s="15">
        <v>20</v>
      </c>
      <c r="I3236" s="163"/>
      <c r="J3236" s="15"/>
      <c r="K3236" s="163" t="s">
        <v>46</v>
      </c>
      <c r="L3236" s="15"/>
      <c r="M3236" s="188">
        <v>8.3000000000000007</v>
      </c>
      <c r="N3236" s="169" t="s">
        <v>11</v>
      </c>
    </row>
    <row r="3237" spans="1:14" x14ac:dyDescent="0.25">
      <c r="A3237" s="63" t="s">
        <v>556</v>
      </c>
      <c r="B3237" s="71" t="s">
        <v>1119</v>
      </c>
      <c r="C3237" s="2">
        <v>4052899530997</v>
      </c>
      <c r="D3237" s="103"/>
      <c r="E3237" s="127"/>
      <c r="F3237" s="34" t="s">
        <v>1657</v>
      </c>
      <c r="G3237" s="161" t="str">
        <f>HYPERLINK("https://ledvance.com/pt/product-datasheet/7689/130657","Ficha Técnica")</f>
        <v>Ficha Técnica</v>
      </c>
      <c r="H3237" s="15">
        <v>20</v>
      </c>
      <c r="I3237" s="163"/>
      <c r="J3237" s="15"/>
      <c r="K3237" s="163"/>
      <c r="L3237" s="15"/>
      <c r="M3237" s="188">
        <v>8.3000000000000007</v>
      </c>
      <c r="N3237" s="169" t="s">
        <v>11</v>
      </c>
    </row>
    <row r="3238" spans="1:14" x14ac:dyDescent="0.25">
      <c r="A3238" s="63" t="s">
        <v>556</v>
      </c>
      <c r="B3238" s="71" t="s">
        <v>1120</v>
      </c>
      <c r="C3238" s="2">
        <v>4062172046732</v>
      </c>
      <c r="D3238" s="103"/>
      <c r="E3238" s="127"/>
      <c r="F3238" s="34" t="s">
        <v>1657</v>
      </c>
      <c r="G3238" s="161" t="str">
        <f>HYPERLINK("https://ledvance.com/pt/product-datasheet/7689/133802","Ficha Técnica")</f>
        <v>Ficha Técnica</v>
      </c>
      <c r="H3238" s="15">
        <v>100</v>
      </c>
      <c r="I3238" s="163"/>
      <c r="J3238" s="15"/>
      <c r="K3238" s="163" t="s">
        <v>46</v>
      </c>
      <c r="L3238" s="15"/>
      <c r="M3238" s="188">
        <v>8.3000000000000007</v>
      </c>
      <c r="N3238" s="169" t="s">
        <v>11</v>
      </c>
    </row>
    <row r="3239" spans="1:14" x14ac:dyDescent="0.25">
      <c r="A3239" s="66" t="s">
        <v>103</v>
      </c>
      <c r="B3239" s="79" t="s">
        <v>1121</v>
      </c>
      <c r="C3239" s="51"/>
      <c r="D3239" s="65"/>
      <c r="E3239" s="86"/>
      <c r="F3239" s="12"/>
      <c r="G3239" s="157"/>
      <c r="H3239" s="49"/>
      <c r="I3239" s="165"/>
      <c r="J3239" s="49"/>
      <c r="K3239" s="165"/>
      <c r="L3239" s="49"/>
      <c r="M3239" s="191"/>
      <c r="N3239" s="130"/>
    </row>
    <row r="3240" spans="1:14" x14ac:dyDescent="0.25">
      <c r="A3240" s="63" t="s">
        <v>103</v>
      </c>
      <c r="B3240" s="77" t="s">
        <v>1122</v>
      </c>
      <c r="C3240" s="2">
        <v>4052899222571</v>
      </c>
      <c r="D3240" s="146"/>
      <c r="E3240" s="147"/>
      <c r="F3240" s="34" t="s">
        <v>1657</v>
      </c>
      <c r="G3240" s="161" t="str">
        <f>HYPERLINK("https://ledvance.com/pt/product-datasheet/7599/126620","Ficha Técnica")</f>
        <v>Ficha Técnica</v>
      </c>
      <c r="H3240" s="15">
        <v>20</v>
      </c>
      <c r="I3240" s="163"/>
      <c r="J3240" s="15">
        <v>54</v>
      </c>
      <c r="K3240" s="163" t="s">
        <v>46</v>
      </c>
      <c r="L3240" s="15"/>
      <c r="M3240" s="188">
        <v>21.7</v>
      </c>
      <c r="N3240" s="176" t="s">
        <v>11</v>
      </c>
    </row>
    <row r="3241" spans="1:14" x14ac:dyDescent="0.25">
      <c r="A3241" s="63" t="s">
        <v>103</v>
      </c>
      <c r="B3241" s="77" t="s">
        <v>1123</v>
      </c>
      <c r="C3241" s="2">
        <v>4052899522558</v>
      </c>
      <c r="D3241" s="146"/>
      <c r="E3241" s="147"/>
      <c r="F3241" s="34" t="s">
        <v>1657</v>
      </c>
      <c r="G3241" s="161" t="str">
        <f>HYPERLINK("https://ledvance.com/pt/product-datasheet/7598/127144","Ficha Técnica")</f>
        <v>Ficha Técnica</v>
      </c>
      <c r="H3241" s="15">
        <v>20</v>
      </c>
      <c r="I3241" s="163"/>
      <c r="J3241" s="15">
        <v>66</v>
      </c>
      <c r="K3241" s="163" t="s">
        <v>46</v>
      </c>
      <c r="L3241" s="15"/>
      <c r="M3241" s="188">
        <v>35.4</v>
      </c>
      <c r="N3241" s="176" t="s">
        <v>11</v>
      </c>
    </row>
    <row r="3242" spans="1:14" x14ac:dyDescent="0.25">
      <c r="A3242" s="63" t="s">
        <v>103</v>
      </c>
      <c r="B3242" s="77" t="s">
        <v>1124</v>
      </c>
      <c r="C3242" s="2">
        <v>4052899522572</v>
      </c>
      <c r="D3242" s="146"/>
      <c r="E3242" s="147"/>
      <c r="F3242" s="34" t="s">
        <v>1657</v>
      </c>
      <c r="G3242" s="161" t="str">
        <f>HYPERLINK("https://ledvance.com/pt/product-datasheet/7598/127147","Ficha Técnica")</f>
        <v>Ficha Técnica</v>
      </c>
      <c r="H3242" s="15">
        <v>20</v>
      </c>
      <c r="I3242" s="163"/>
      <c r="J3242" s="15">
        <v>93</v>
      </c>
      <c r="K3242" s="163" t="s">
        <v>46</v>
      </c>
      <c r="L3242" s="15"/>
      <c r="M3242" s="188">
        <v>41.1</v>
      </c>
      <c r="N3242" s="176" t="s">
        <v>11</v>
      </c>
    </row>
    <row r="3243" spans="1:14" x14ac:dyDescent="0.25">
      <c r="A3243" s="63" t="s">
        <v>103</v>
      </c>
      <c r="B3243" s="77" t="s">
        <v>1125</v>
      </c>
      <c r="C3243" s="2">
        <v>4052899999565</v>
      </c>
      <c r="D3243" s="146"/>
      <c r="E3243" s="147"/>
      <c r="F3243" s="34" t="s">
        <v>1657</v>
      </c>
      <c r="G3243" s="161" t="str">
        <f>HYPERLINK("https://ledvance.com/pt/product-datasheet/195854/133767","Ficha Técnica")</f>
        <v>Ficha Técnica</v>
      </c>
      <c r="H3243" s="15">
        <v>20</v>
      </c>
      <c r="I3243" s="163"/>
      <c r="J3243" s="15">
        <v>75</v>
      </c>
      <c r="K3243" s="163" t="s">
        <v>46</v>
      </c>
      <c r="L3243" s="15"/>
      <c r="M3243" s="188">
        <v>39.5</v>
      </c>
      <c r="N3243" s="176" t="s">
        <v>11</v>
      </c>
    </row>
    <row r="3244" spans="1:14" x14ac:dyDescent="0.25">
      <c r="A3244" s="63" t="s">
        <v>103</v>
      </c>
      <c r="B3244" s="77" t="s">
        <v>1126</v>
      </c>
      <c r="C3244" s="2">
        <v>4052899497900</v>
      </c>
      <c r="D3244" s="146"/>
      <c r="E3244" s="147"/>
      <c r="F3244" s="34" t="s">
        <v>1657</v>
      </c>
      <c r="G3244" s="161" t="str">
        <f>HYPERLINK("https://ledvance.com/pt/product-datasheet/7597/127288","Ficha Técnica")</f>
        <v>Ficha Técnica</v>
      </c>
      <c r="H3244" s="15">
        <v>20</v>
      </c>
      <c r="I3244" s="163"/>
      <c r="J3244" s="15">
        <v>120</v>
      </c>
      <c r="K3244" s="163" t="s">
        <v>46</v>
      </c>
      <c r="L3244" s="15"/>
      <c r="M3244" s="188">
        <v>36.299999999999997</v>
      </c>
      <c r="N3244" s="176" t="s">
        <v>11</v>
      </c>
    </row>
    <row r="3245" spans="1:14" x14ac:dyDescent="0.25">
      <c r="A3245" s="66" t="s">
        <v>103</v>
      </c>
      <c r="B3245" s="79" t="s">
        <v>1127</v>
      </c>
      <c r="C3245" s="51"/>
      <c r="D3245" s="65"/>
      <c r="E3245" s="86"/>
      <c r="F3245" s="12"/>
      <c r="G3245" s="157"/>
      <c r="H3245" s="49"/>
      <c r="I3245" s="165"/>
      <c r="J3245" s="49"/>
      <c r="K3245" s="165"/>
      <c r="L3245" s="49"/>
      <c r="M3245" s="191"/>
      <c r="N3245" s="130"/>
    </row>
    <row r="3246" spans="1:14" x14ac:dyDescent="0.25">
      <c r="A3246" s="63" t="s">
        <v>103</v>
      </c>
      <c r="B3246" s="77" t="s">
        <v>1128</v>
      </c>
      <c r="C3246" s="2">
        <v>4062172250269</v>
      </c>
      <c r="D3246" s="146"/>
      <c r="E3246" s="147"/>
      <c r="F3246" s="34" t="s">
        <v>1657</v>
      </c>
      <c r="G3246" s="161" t="str">
        <f>HYPERLINK("https://ledvance.com/pt/product-datasheet/201262/180601","Ficha Técnica")</f>
        <v>Ficha Técnica</v>
      </c>
      <c r="H3246" s="15">
        <v>20</v>
      </c>
      <c r="I3246" s="163"/>
      <c r="J3246" s="15">
        <v>10</v>
      </c>
      <c r="K3246" s="163" t="s">
        <v>46</v>
      </c>
      <c r="L3246" s="15"/>
      <c r="M3246" s="188">
        <v>60.7</v>
      </c>
      <c r="N3246" s="176" t="s">
        <v>11</v>
      </c>
    </row>
    <row r="3247" spans="1:14" x14ac:dyDescent="0.25">
      <c r="A3247" s="63" t="s">
        <v>103</v>
      </c>
      <c r="B3247" s="77" t="s">
        <v>1128</v>
      </c>
      <c r="C3247" s="2">
        <v>4062172143899</v>
      </c>
      <c r="D3247" s="146"/>
      <c r="E3247" s="147"/>
      <c r="F3247" s="34" t="s">
        <v>1657</v>
      </c>
      <c r="G3247" s="161" t="str">
        <f>HYPERLINK("https://ledvance.com/pt/product-datasheet/201262/137299","Ficha Técnica")</f>
        <v>Ficha Técnica</v>
      </c>
      <c r="H3247" s="15">
        <v>20</v>
      </c>
      <c r="I3247" s="163"/>
      <c r="J3247" s="15">
        <v>10</v>
      </c>
      <c r="K3247" s="163" t="s">
        <v>46</v>
      </c>
      <c r="L3247" s="15"/>
      <c r="M3247" s="188">
        <v>60.7</v>
      </c>
      <c r="N3247" s="176" t="s">
        <v>11</v>
      </c>
    </row>
    <row r="3248" spans="1:14" x14ac:dyDescent="0.25">
      <c r="A3248" s="63" t="s">
        <v>103</v>
      </c>
      <c r="B3248" s="77" t="s">
        <v>1129</v>
      </c>
      <c r="C3248" s="2">
        <v>4062172143912</v>
      </c>
      <c r="D3248" s="146"/>
      <c r="E3248" s="147"/>
      <c r="F3248" s="34" t="s">
        <v>1657</v>
      </c>
      <c r="G3248" s="161" t="str">
        <f>HYPERLINK("https://ledvance.com/pt/product-datasheet/7635/194659","Ficha Técnica")</f>
        <v>Ficha Técnica</v>
      </c>
      <c r="H3248" s="15">
        <v>20</v>
      </c>
      <c r="I3248" s="163"/>
      <c r="J3248" s="15">
        <v>18</v>
      </c>
      <c r="K3248" s="163" t="s">
        <v>46</v>
      </c>
      <c r="L3248" s="15"/>
      <c r="M3248" s="188">
        <v>51.4</v>
      </c>
      <c r="N3248" s="176" t="s">
        <v>11</v>
      </c>
    </row>
    <row r="3249" spans="1:16" x14ac:dyDescent="0.25">
      <c r="A3249" s="63" t="s">
        <v>103</v>
      </c>
      <c r="B3249" s="77" t="s">
        <v>1130</v>
      </c>
      <c r="C3249" s="2">
        <v>4052899488144</v>
      </c>
      <c r="D3249" s="146"/>
      <c r="E3249" s="148"/>
      <c r="F3249" s="34" t="s">
        <v>1657</v>
      </c>
      <c r="G3249" s="161" t="str">
        <f>HYPERLINK("https://ledvance.com/pt/product-datasheet/7635/125297","Ficha Técnica")</f>
        <v>Ficha Técnica</v>
      </c>
      <c r="H3249" s="15">
        <v>20</v>
      </c>
      <c r="I3249" s="163"/>
      <c r="J3249" s="15">
        <v>27</v>
      </c>
      <c r="K3249" s="163" t="s">
        <v>46</v>
      </c>
      <c r="L3249" s="15"/>
      <c r="M3249" s="188">
        <v>62</v>
      </c>
      <c r="N3249" s="176" t="s">
        <v>11</v>
      </c>
    </row>
    <row r="3250" spans="1:16" x14ac:dyDescent="0.25">
      <c r="A3250" s="63" t="s">
        <v>103</v>
      </c>
      <c r="B3250" s="77" t="s">
        <v>2002</v>
      </c>
      <c r="C3250" s="2">
        <v>4062172017923</v>
      </c>
      <c r="D3250" s="103"/>
      <c r="E3250" s="148"/>
      <c r="F3250" s="47" t="s">
        <v>1657</v>
      </c>
      <c r="G3250" s="161" t="s">
        <v>2004</v>
      </c>
      <c r="H3250" s="15">
        <v>20</v>
      </c>
      <c r="I3250" s="163"/>
      <c r="J3250" s="15">
        <v>35</v>
      </c>
      <c r="K3250" s="163" t="s">
        <v>46</v>
      </c>
      <c r="L3250" s="15"/>
      <c r="M3250" s="188">
        <v>80.2</v>
      </c>
      <c r="N3250" s="176" t="s">
        <v>11</v>
      </c>
    </row>
    <row r="3251" spans="1:16" x14ac:dyDescent="0.25">
      <c r="A3251" s="63" t="s">
        <v>103</v>
      </c>
      <c r="B3251" s="77" t="s">
        <v>1131</v>
      </c>
      <c r="C3251" s="2">
        <v>4052899551763</v>
      </c>
      <c r="D3251" s="146"/>
      <c r="E3251" s="148"/>
      <c r="F3251" s="34" t="s">
        <v>1657</v>
      </c>
      <c r="G3251" s="161" t="str">
        <f>HYPERLINK("https://ledvance.com/pt/product-datasheet/7627/129738","Ficha Técnica")</f>
        <v>Ficha Técnica</v>
      </c>
      <c r="H3251" s="15">
        <v>20</v>
      </c>
      <c r="I3251" s="163"/>
      <c r="J3251" s="15">
        <v>35</v>
      </c>
      <c r="K3251" s="163" t="s">
        <v>46</v>
      </c>
      <c r="L3251" s="15"/>
      <c r="M3251" s="188">
        <v>76.8</v>
      </c>
      <c r="N3251" s="176" t="s">
        <v>11</v>
      </c>
    </row>
    <row r="3252" spans="1:16" x14ac:dyDescent="0.25">
      <c r="A3252" s="63" t="s">
        <v>103</v>
      </c>
      <c r="B3252" s="77" t="s">
        <v>2003</v>
      </c>
      <c r="C3252" s="2">
        <v>4062172061889</v>
      </c>
      <c r="D3252" s="146"/>
      <c r="E3252" s="148"/>
      <c r="F3252" s="34" t="s">
        <v>1657</v>
      </c>
      <c r="G3252" s="161" t="s">
        <v>2004</v>
      </c>
      <c r="H3252" s="15">
        <v>20</v>
      </c>
      <c r="I3252" s="163"/>
      <c r="J3252" s="15">
        <v>50</v>
      </c>
      <c r="K3252" s="163" t="s">
        <v>46</v>
      </c>
      <c r="L3252" s="15"/>
      <c r="M3252" s="188">
        <v>81.8</v>
      </c>
      <c r="N3252" s="176" t="s">
        <v>11</v>
      </c>
    </row>
    <row r="3253" spans="1:16" x14ac:dyDescent="0.25">
      <c r="A3253" s="63" t="s">
        <v>103</v>
      </c>
      <c r="B3253" s="77" t="s">
        <v>1132</v>
      </c>
      <c r="C3253" s="2">
        <v>4052899488182</v>
      </c>
      <c r="D3253" s="146"/>
      <c r="E3253" s="148"/>
      <c r="F3253" s="34" t="s">
        <v>1657</v>
      </c>
      <c r="G3253" s="161" t="str">
        <f>HYPERLINK("https://ledvance.com/pt/product-datasheet/7635/125305","Ficha Técnica")</f>
        <v>Ficha Técnica</v>
      </c>
      <c r="H3253" s="15">
        <v>20</v>
      </c>
      <c r="I3253" s="163"/>
      <c r="J3253" s="15">
        <v>50</v>
      </c>
      <c r="K3253" s="163" t="s">
        <v>46</v>
      </c>
      <c r="L3253" s="15"/>
      <c r="M3253" s="188">
        <v>73.5</v>
      </c>
      <c r="N3253" s="176" t="s">
        <v>11</v>
      </c>
    </row>
    <row r="3254" spans="1:16" x14ac:dyDescent="0.25">
      <c r="A3254" s="63" t="s">
        <v>103</v>
      </c>
      <c r="B3254" s="77" t="s">
        <v>1133</v>
      </c>
      <c r="C3254" s="2">
        <v>4052899028074</v>
      </c>
      <c r="D3254" s="146"/>
      <c r="E3254" s="147"/>
      <c r="F3254" s="34" t="s">
        <v>1657</v>
      </c>
      <c r="G3254" s="161" t="str">
        <f>HYPERLINK("https://ledvance.com/pt/product-datasheet/7627/134708","Ficha Técnica")</f>
        <v>Ficha Técnica</v>
      </c>
      <c r="H3254" s="15">
        <v>20</v>
      </c>
      <c r="I3254" s="163"/>
      <c r="J3254" s="15">
        <v>90</v>
      </c>
      <c r="K3254" s="163" t="s">
        <v>46</v>
      </c>
      <c r="L3254" s="15"/>
      <c r="M3254" s="188">
        <v>93.2</v>
      </c>
      <c r="N3254" s="176" t="s">
        <v>11</v>
      </c>
    </row>
    <row r="3255" spans="1:16" x14ac:dyDescent="0.25">
      <c r="A3255" s="63" t="s">
        <v>103</v>
      </c>
      <c r="B3255" s="77" t="s">
        <v>1134</v>
      </c>
      <c r="C3255" s="2">
        <v>4052899028050</v>
      </c>
      <c r="D3255" s="146"/>
      <c r="E3255" s="147"/>
      <c r="F3255" s="34" t="s">
        <v>1657</v>
      </c>
      <c r="G3255" s="161" t="str">
        <f>HYPERLINK("https://ledvance.com/pt/product-datasheet/7627/30941","Ficha Técnica")</f>
        <v>Ficha Técnica</v>
      </c>
      <c r="H3255" s="15">
        <v>20</v>
      </c>
      <c r="I3255" s="163"/>
      <c r="J3255" s="15">
        <v>80</v>
      </c>
      <c r="K3255" s="163" t="s">
        <v>46</v>
      </c>
      <c r="L3255" s="15"/>
      <c r="M3255" s="188">
        <v>95.8</v>
      </c>
      <c r="N3255" s="176" t="s">
        <v>11</v>
      </c>
    </row>
    <row r="3256" spans="1:16" x14ac:dyDescent="0.25">
      <c r="A3256" s="63" t="s">
        <v>103</v>
      </c>
      <c r="B3256" s="77" t="s">
        <v>1135</v>
      </c>
      <c r="C3256" s="2">
        <v>4052899494244</v>
      </c>
      <c r="D3256" s="146"/>
      <c r="E3256" s="147"/>
      <c r="F3256" s="34" t="s">
        <v>1657</v>
      </c>
      <c r="G3256" s="161" t="str">
        <f>HYPERLINK("https://ledvance.com/pt/product-datasheet/201259/127133","Ficha Técnica")</f>
        <v>Ficha Técnica</v>
      </c>
      <c r="H3256" s="15">
        <v>20</v>
      </c>
      <c r="I3256" s="163"/>
      <c r="J3256" s="15">
        <v>90</v>
      </c>
      <c r="K3256" s="163" t="s">
        <v>46</v>
      </c>
      <c r="L3256" s="15"/>
      <c r="M3256" s="188">
        <v>89.5</v>
      </c>
      <c r="N3256" s="176" t="s">
        <v>11</v>
      </c>
    </row>
    <row r="3257" spans="1:16" ht="23.25" x14ac:dyDescent="0.25">
      <c r="A3257" s="178"/>
      <c r="B3257" s="182" t="s">
        <v>2228</v>
      </c>
      <c r="C3257" s="51"/>
      <c r="D3257" s="12"/>
      <c r="E3257" s="12"/>
      <c r="F3257" s="12"/>
      <c r="G3257" s="45"/>
      <c r="H3257" s="12"/>
      <c r="I3257" s="12"/>
      <c r="J3257" s="27"/>
      <c r="K3257" s="12"/>
      <c r="L3257" s="12"/>
      <c r="M3257" s="191"/>
      <c r="N3257" s="168"/>
    </row>
    <row r="3258" spans="1:16" s="33" customFormat="1" x14ac:dyDescent="0.25">
      <c r="A3258" s="66" t="s">
        <v>1136</v>
      </c>
      <c r="B3258" s="79" t="s">
        <v>2229</v>
      </c>
      <c r="C3258" s="51"/>
      <c r="D3258" s="65"/>
      <c r="E3258" s="86"/>
      <c r="F3258" s="12"/>
      <c r="G3258" s="157"/>
      <c r="H3258" s="12"/>
      <c r="I3258" s="62"/>
      <c r="J3258" s="27"/>
      <c r="K3258" s="62"/>
      <c r="L3258" s="12"/>
      <c r="M3258" s="191"/>
      <c r="N3258" s="130"/>
      <c r="O3258" s="7"/>
      <c r="P3258" s="7"/>
    </row>
    <row r="3259" spans="1:16" s="33" customFormat="1" x14ac:dyDescent="0.25">
      <c r="A3259" s="63" t="s">
        <v>1136</v>
      </c>
      <c r="B3259" s="71" t="s">
        <v>1408</v>
      </c>
      <c r="C3259" s="2">
        <v>4058075837485</v>
      </c>
      <c r="D3259" s="103"/>
      <c r="E3259" s="127"/>
      <c r="F3259" s="17"/>
      <c r="G3259" s="156" t="str">
        <f>HYPERLINK("https://ledvance.com/pt/product-datasheet/316992/302436","Ficha Técnica")</f>
        <v>Ficha Técnica</v>
      </c>
      <c r="H3259" s="15">
        <v>36</v>
      </c>
      <c r="I3259" s="163"/>
      <c r="J3259" s="15" t="s">
        <v>1932</v>
      </c>
      <c r="K3259" s="163" t="s">
        <v>46</v>
      </c>
      <c r="L3259" s="15">
        <v>5</v>
      </c>
      <c r="M3259" s="188">
        <v>114.3</v>
      </c>
      <c r="N3259" s="176" t="s">
        <v>11</v>
      </c>
      <c r="O3259" s="7"/>
      <c r="P3259" s="7"/>
    </row>
    <row r="3260" spans="1:16" x14ac:dyDescent="0.25">
      <c r="A3260" s="63" t="s">
        <v>1136</v>
      </c>
      <c r="B3260" s="71" t="s">
        <v>3949</v>
      </c>
      <c r="C3260" s="2">
        <v>4058075837508</v>
      </c>
      <c r="D3260" s="103"/>
      <c r="E3260" s="127"/>
      <c r="F3260" s="17"/>
      <c r="G3260" s="156" t="str">
        <f>HYPERLINK("https://ledvance.com/pt/product-datasheet/316993/302439","Ficha Técnica")</f>
        <v>Ficha Técnica</v>
      </c>
      <c r="H3260" s="15">
        <v>36</v>
      </c>
      <c r="I3260" s="163"/>
      <c r="J3260" s="15" t="s">
        <v>1932</v>
      </c>
      <c r="K3260" s="163" t="s">
        <v>46</v>
      </c>
      <c r="L3260" s="15">
        <v>5</v>
      </c>
      <c r="M3260" s="188">
        <v>114.3</v>
      </c>
      <c r="N3260" s="176" t="s">
        <v>11</v>
      </c>
    </row>
    <row r="3261" spans="1:16" x14ac:dyDescent="0.25">
      <c r="A3261" s="63" t="s">
        <v>1136</v>
      </c>
      <c r="B3261" s="71" t="s">
        <v>3950</v>
      </c>
      <c r="C3261" s="2">
        <v>4058075837522</v>
      </c>
      <c r="D3261" s="95">
        <v>4062172224673</v>
      </c>
      <c r="E3261" s="96" t="s">
        <v>1416</v>
      </c>
      <c r="F3261" s="17"/>
      <c r="G3261" s="156" t="str">
        <f>HYPERLINK("https://ledvance.com/pt/product-datasheet/316994/302442","Ficha Técnica")</f>
        <v>Ficha Técnica</v>
      </c>
      <c r="H3261" s="15">
        <v>36</v>
      </c>
      <c r="I3261" s="163"/>
      <c r="J3261" s="15" t="s">
        <v>1932</v>
      </c>
      <c r="K3261" s="163" t="s">
        <v>46</v>
      </c>
      <c r="L3261" s="15">
        <v>5</v>
      </c>
      <c r="M3261" s="188">
        <v>100</v>
      </c>
      <c r="N3261" s="176" t="s">
        <v>11</v>
      </c>
    </row>
    <row r="3262" spans="1:16" x14ac:dyDescent="0.25">
      <c r="A3262" s="63" t="s">
        <v>1136</v>
      </c>
      <c r="B3262" s="71" t="s">
        <v>1409</v>
      </c>
      <c r="C3262" s="2">
        <v>4058075837546</v>
      </c>
      <c r="D3262" s="103"/>
      <c r="E3262" s="127"/>
      <c r="F3262" s="17"/>
      <c r="G3262" s="156" t="str">
        <f>HYPERLINK("https://ledvance.com/pt/product-datasheet/316995/302445","Ficha Técnica")</f>
        <v>Ficha Técnica</v>
      </c>
      <c r="H3262" s="15">
        <v>36</v>
      </c>
      <c r="I3262" s="163"/>
      <c r="J3262" s="15" t="s">
        <v>1932</v>
      </c>
      <c r="K3262" s="163" t="s">
        <v>46</v>
      </c>
      <c r="L3262" s="15">
        <v>5</v>
      </c>
      <c r="M3262" s="188">
        <v>114.3</v>
      </c>
      <c r="N3262" s="176" t="s">
        <v>11</v>
      </c>
    </row>
    <row r="3263" spans="1:16" x14ac:dyDescent="0.25">
      <c r="A3263" s="63" t="s">
        <v>1136</v>
      </c>
      <c r="B3263" s="71" t="s">
        <v>3951</v>
      </c>
      <c r="C3263" s="2">
        <v>4058075837560</v>
      </c>
      <c r="D3263" s="103"/>
      <c r="E3263" s="127"/>
      <c r="F3263" s="17"/>
      <c r="G3263" s="156" t="str">
        <f>HYPERLINK("https://ledvance.com/pt/product-datasheet/316996/302448","Ficha Técnica")</f>
        <v>Ficha Técnica</v>
      </c>
      <c r="H3263" s="15">
        <v>36</v>
      </c>
      <c r="I3263" s="163"/>
      <c r="J3263" s="15" t="s">
        <v>1932</v>
      </c>
      <c r="K3263" s="163" t="s">
        <v>46</v>
      </c>
      <c r="L3263" s="15">
        <v>5</v>
      </c>
      <c r="M3263" s="188">
        <v>114.3</v>
      </c>
      <c r="N3263" s="176" t="s">
        <v>11</v>
      </c>
    </row>
    <row r="3264" spans="1:16" x14ac:dyDescent="0.25">
      <c r="A3264" s="63" t="s">
        <v>1136</v>
      </c>
      <c r="B3264" s="71" t="s">
        <v>3952</v>
      </c>
      <c r="C3264" s="2">
        <v>4058075837584</v>
      </c>
      <c r="D3264" s="95">
        <v>4052899631625</v>
      </c>
      <c r="E3264" s="96" t="s">
        <v>1416</v>
      </c>
      <c r="F3264" s="17"/>
      <c r="G3264" s="156" t="str">
        <f>HYPERLINK("https://ledvance.com/pt/product-datasheet/316998/302451","Ficha Técnica")</f>
        <v>Ficha Técnica</v>
      </c>
      <c r="H3264" s="15">
        <v>36</v>
      </c>
      <c r="I3264" s="163"/>
      <c r="J3264" s="15" t="s">
        <v>1846</v>
      </c>
      <c r="K3264" s="163" t="s">
        <v>46</v>
      </c>
      <c r="L3264" s="15">
        <v>5</v>
      </c>
      <c r="M3264" s="188">
        <v>85.7</v>
      </c>
      <c r="N3264" s="176" t="s">
        <v>11</v>
      </c>
    </row>
    <row r="3265" spans="1:14" x14ac:dyDescent="0.25">
      <c r="A3265" s="63" t="s">
        <v>1136</v>
      </c>
      <c r="B3265" s="71" t="s">
        <v>2202</v>
      </c>
      <c r="C3265" s="2">
        <v>4058075837607</v>
      </c>
      <c r="D3265" s="95">
        <v>4062172087575</v>
      </c>
      <c r="E3265" s="96" t="s">
        <v>1989</v>
      </c>
      <c r="F3265" s="17"/>
      <c r="G3265" s="156" t="str">
        <f>HYPERLINK("https://ledvance.com/pt/product-datasheet/356873/302454","Ficha Técnica")</f>
        <v>Ficha Técnica</v>
      </c>
      <c r="H3265" s="15">
        <v>20</v>
      </c>
      <c r="I3265" s="163"/>
      <c r="J3265" s="15" t="s">
        <v>1933</v>
      </c>
      <c r="K3265" s="163" t="s">
        <v>46</v>
      </c>
      <c r="L3265" s="15">
        <v>5</v>
      </c>
      <c r="M3265" s="188">
        <v>128.5</v>
      </c>
      <c r="N3265" s="176" t="s">
        <v>11</v>
      </c>
    </row>
    <row r="3266" spans="1:14" x14ac:dyDescent="0.25">
      <c r="A3266" s="63" t="s">
        <v>1136</v>
      </c>
      <c r="B3266" s="71" t="s">
        <v>1410</v>
      </c>
      <c r="C3266" s="2">
        <v>4058075837621</v>
      </c>
      <c r="D3266" s="95">
        <v>4062172072083</v>
      </c>
      <c r="E3266" s="96" t="s">
        <v>1417</v>
      </c>
      <c r="F3266" s="17"/>
      <c r="G3266" s="156" t="str">
        <f>HYPERLINK("https://ledvance.com/pt/product-datasheet/322282/302457","Ficha Técnica")</f>
        <v>Ficha Técnica</v>
      </c>
      <c r="H3266" s="15">
        <v>20</v>
      </c>
      <c r="I3266" s="163"/>
      <c r="J3266" s="15" t="s">
        <v>1933</v>
      </c>
      <c r="K3266" s="163" t="s">
        <v>46</v>
      </c>
      <c r="L3266" s="15">
        <v>5</v>
      </c>
      <c r="M3266" s="188">
        <v>114.7</v>
      </c>
      <c r="N3266" s="176" t="s">
        <v>11</v>
      </c>
    </row>
    <row r="3267" spans="1:14" x14ac:dyDescent="0.25">
      <c r="A3267" s="63" t="s">
        <v>1136</v>
      </c>
      <c r="B3267" s="71" t="s">
        <v>1411</v>
      </c>
      <c r="C3267" s="2">
        <v>4058075843561</v>
      </c>
      <c r="D3267" s="103"/>
      <c r="E3267" s="127"/>
      <c r="F3267" s="17"/>
      <c r="G3267" s="156" t="str">
        <f>HYPERLINK("https://ledvance.com/pt/product-datasheet/316997/302466","Ficha Técnica")</f>
        <v>Ficha Técnica</v>
      </c>
      <c r="H3267" s="15">
        <v>36</v>
      </c>
      <c r="I3267" s="163"/>
      <c r="J3267" s="15"/>
      <c r="K3267" s="163"/>
      <c r="L3267" s="15">
        <v>5</v>
      </c>
      <c r="M3267" s="188">
        <v>13.5</v>
      </c>
      <c r="N3267" s="176" t="s">
        <v>11</v>
      </c>
    </row>
    <row r="3268" spans="1:14" x14ac:dyDescent="0.25">
      <c r="A3268" s="63" t="s">
        <v>1136</v>
      </c>
      <c r="B3268" s="71" t="s">
        <v>2148</v>
      </c>
      <c r="C3268" s="2">
        <v>4052899627079</v>
      </c>
      <c r="D3268" s="103"/>
      <c r="E3268" s="127"/>
      <c r="F3268" s="17"/>
      <c r="G3268" s="156" t="str">
        <f>HYPERLINK("https://ledvance.com/pt/product-datasheet/182395/196611","Ficha Técnica")</f>
        <v>Ficha Técnica</v>
      </c>
      <c r="H3268" s="15">
        <v>20</v>
      </c>
      <c r="I3268" s="163"/>
      <c r="J3268" s="15">
        <v>20</v>
      </c>
      <c r="K3268" s="163" t="s">
        <v>46</v>
      </c>
      <c r="L3268" s="15">
        <v>5</v>
      </c>
      <c r="M3268" s="188">
        <v>1936.5</v>
      </c>
      <c r="N3268" s="176" t="s">
        <v>11</v>
      </c>
    </row>
    <row r="3269" spans="1:14" x14ac:dyDescent="0.25">
      <c r="A3269" s="63" t="s">
        <v>1136</v>
      </c>
      <c r="B3269" s="71" t="s">
        <v>3953</v>
      </c>
      <c r="C3269" s="2">
        <v>4058075841888</v>
      </c>
      <c r="D3269" s="103"/>
      <c r="E3269" s="127"/>
      <c r="F3269" s="17"/>
      <c r="G3269" s="156" t="str">
        <f>HYPERLINK("https://ledvance.com/pt/product-datasheet/322272/313695","Ficha Técnica")</f>
        <v>Ficha Técnica</v>
      </c>
      <c r="H3269" s="15">
        <v>20</v>
      </c>
      <c r="I3269" s="163"/>
      <c r="J3269" s="15">
        <v>20</v>
      </c>
      <c r="K3269" s="163" t="s">
        <v>46</v>
      </c>
      <c r="L3269" s="15">
        <v>5</v>
      </c>
      <c r="M3269" s="188">
        <v>2145.5</v>
      </c>
      <c r="N3269" s="176" t="s">
        <v>11</v>
      </c>
    </row>
    <row r="3270" spans="1:14" x14ac:dyDescent="0.25">
      <c r="A3270" s="63" t="s">
        <v>1136</v>
      </c>
      <c r="B3270" s="71" t="s">
        <v>3954</v>
      </c>
      <c r="C3270" s="2">
        <v>4058075841901</v>
      </c>
      <c r="D3270" s="103"/>
      <c r="E3270" s="127"/>
      <c r="F3270" s="17"/>
      <c r="G3270" s="156" t="str">
        <f>HYPERLINK("https://ledvance.com/pt/product-datasheet/322275/313698","Ficha Técnica")</f>
        <v>Ficha Técnica</v>
      </c>
      <c r="H3270" s="15">
        <v>60</v>
      </c>
      <c r="I3270" s="163"/>
      <c r="J3270" s="15">
        <v>3</v>
      </c>
      <c r="K3270" s="163" t="s">
        <v>46</v>
      </c>
      <c r="L3270" s="15">
        <v>5</v>
      </c>
      <c r="M3270" s="188">
        <v>130.1</v>
      </c>
      <c r="N3270" s="176" t="s">
        <v>11</v>
      </c>
    </row>
    <row r="3271" spans="1:14" x14ac:dyDescent="0.25">
      <c r="A3271" s="63" t="s">
        <v>1136</v>
      </c>
      <c r="B3271" s="71" t="s">
        <v>3955</v>
      </c>
      <c r="C3271" s="2">
        <v>4058075841925</v>
      </c>
      <c r="D3271" s="103"/>
      <c r="E3271" s="127"/>
      <c r="F3271" s="17"/>
      <c r="G3271" s="156" t="str">
        <f>HYPERLINK("https://ledvance.com/pt/product-datasheet/322273/313701","Ficha Técnica")</f>
        <v>Ficha Técnica</v>
      </c>
      <c r="H3271" s="15">
        <v>25</v>
      </c>
      <c r="I3271" s="163"/>
      <c r="J3271" s="15">
        <v>3</v>
      </c>
      <c r="K3271" s="163" t="s">
        <v>46</v>
      </c>
      <c r="L3271" s="15">
        <v>5</v>
      </c>
      <c r="M3271" s="188">
        <v>205.5</v>
      </c>
      <c r="N3271" s="176" t="s">
        <v>11</v>
      </c>
    </row>
    <row r="3272" spans="1:14" x14ac:dyDescent="0.25">
      <c r="A3272" s="63" t="s">
        <v>1136</v>
      </c>
      <c r="B3272" s="71" t="s">
        <v>3956</v>
      </c>
      <c r="C3272" s="2">
        <v>4058075843844</v>
      </c>
      <c r="D3272" s="103"/>
      <c r="E3272" s="127"/>
      <c r="F3272" s="17"/>
      <c r="G3272" s="156" t="str">
        <f>HYPERLINK("https://ledvance.com/pt/product-datasheet/322274/313716","Ficha Técnica")</f>
        <v>Ficha Técnica</v>
      </c>
      <c r="H3272" s="15">
        <v>25</v>
      </c>
      <c r="I3272" s="163"/>
      <c r="J3272" s="15">
        <v>3</v>
      </c>
      <c r="K3272" s="163" t="s">
        <v>46</v>
      </c>
      <c r="L3272" s="15">
        <v>5</v>
      </c>
      <c r="M3272" s="188">
        <v>148.5</v>
      </c>
      <c r="N3272" s="176" t="s">
        <v>11</v>
      </c>
    </row>
    <row r="3273" spans="1:14" x14ac:dyDescent="0.25">
      <c r="A3273" s="63" t="s">
        <v>1136</v>
      </c>
      <c r="B3273" s="71" t="s">
        <v>1412</v>
      </c>
      <c r="C3273" s="2">
        <v>4058075841949</v>
      </c>
      <c r="D3273" s="95">
        <v>4052899630444</v>
      </c>
      <c r="E3273" s="96" t="s">
        <v>1417</v>
      </c>
      <c r="F3273" s="17"/>
      <c r="G3273" s="156" t="str">
        <f>HYPERLINK("https://ledvance.com/pt/product-datasheet/322283/313704","Ficha Técnica")</f>
        <v>Ficha Técnica</v>
      </c>
      <c r="H3273" s="15">
        <v>24</v>
      </c>
      <c r="I3273" s="163"/>
      <c r="J3273" s="15" t="s">
        <v>1934</v>
      </c>
      <c r="K3273" s="163" t="s">
        <v>46</v>
      </c>
      <c r="L3273" s="15">
        <v>5</v>
      </c>
      <c r="M3273" s="188">
        <v>185.6</v>
      </c>
      <c r="N3273" s="176" t="s">
        <v>11</v>
      </c>
    </row>
    <row r="3274" spans="1:14" x14ac:dyDescent="0.25">
      <c r="A3274" s="63" t="s">
        <v>1136</v>
      </c>
      <c r="B3274" s="71" t="s">
        <v>1413</v>
      </c>
      <c r="C3274" s="2">
        <v>4058075843868</v>
      </c>
      <c r="D3274" s="95">
        <v>4052899630451</v>
      </c>
      <c r="E3274" s="96" t="s">
        <v>1417</v>
      </c>
      <c r="F3274" s="17"/>
      <c r="G3274" s="156" t="str">
        <f>HYPERLINK("https://ledvance.com/pt/product-datasheet/322284/313707","Ficha Técnica")</f>
        <v>Ficha Técnica</v>
      </c>
      <c r="H3274" s="15">
        <v>24</v>
      </c>
      <c r="I3274" s="163"/>
      <c r="J3274" s="15" t="s">
        <v>1934</v>
      </c>
      <c r="K3274" s="163" t="s">
        <v>46</v>
      </c>
      <c r="L3274" s="15">
        <v>5</v>
      </c>
      <c r="M3274" s="188">
        <v>185.6</v>
      </c>
      <c r="N3274" s="176" t="s">
        <v>11</v>
      </c>
    </row>
    <row r="3275" spans="1:14" x14ac:dyDescent="0.25">
      <c r="A3275" s="63" t="s">
        <v>1136</v>
      </c>
      <c r="B3275" s="71" t="s">
        <v>1414</v>
      </c>
      <c r="C3275" s="2">
        <v>4058075843882</v>
      </c>
      <c r="D3275" s="95">
        <v>4052899630468</v>
      </c>
      <c r="E3275" s="96" t="s">
        <v>1417</v>
      </c>
      <c r="F3275" s="17"/>
      <c r="G3275" s="156" t="str">
        <f>HYPERLINK("https://ledvance.com/pt/product-datasheet/322286/313710","Ficha Técnica")</f>
        <v>Ficha Técnica</v>
      </c>
      <c r="H3275" s="15">
        <v>24</v>
      </c>
      <c r="I3275" s="163"/>
      <c r="J3275" s="15" t="s">
        <v>1934</v>
      </c>
      <c r="K3275" s="163" t="s">
        <v>572</v>
      </c>
      <c r="L3275" s="15">
        <v>5</v>
      </c>
      <c r="M3275" s="188">
        <v>185.6</v>
      </c>
      <c r="N3275" s="176" t="s">
        <v>11</v>
      </c>
    </row>
    <row r="3276" spans="1:14" x14ac:dyDescent="0.25">
      <c r="A3276" s="63" t="s">
        <v>1136</v>
      </c>
      <c r="B3276" s="71" t="s">
        <v>1415</v>
      </c>
      <c r="C3276" s="2">
        <v>4058075843905</v>
      </c>
      <c r="D3276" s="95">
        <v>4062172161466</v>
      </c>
      <c r="E3276" s="96" t="s">
        <v>1418</v>
      </c>
      <c r="F3276" s="17"/>
      <c r="G3276" s="156" t="str">
        <f>HYPERLINK("https://ledvance.com/pt/product-datasheet/322287/313713","Ficha Técnica")</f>
        <v>Ficha Técnica</v>
      </c>
      <c r="H3276" s="15">
        <v>48</v>
      </c>
      <c r="I3276" s="163"/>
      <c r="J3276" s="15"/>
      <c r="K3276" s="163" t="s">
        <v>46</v>
      </c>
      <c r="L3276" s="15">
        <v>5</v>
      </c>
      <c r="M3276" s="188">
        <v>25.8</v>
      </c>
      <c r="N3276" s="176" t="s">
        <v>11</v>
      </c>
    </row>
    <row r="3277" spans="1:14" x14ac:dyDescent="0.25">
      <c r="A3277" s="66" t="s">
        <v>1136</v>
      </c>
      <c r="B3277" s="79" t="s">
        <v>2230</v>
      </c>
      <c r="C3277" s="51"/>
      <c r="D3277" s="65"/>
      <c r="E3277" s="86"/>
      <c r="F3277" s="12"/>
      <c r="G3277" s="157"/>
      <c r="H3277" s="12"/>
      <c r="I3277" s="62"/>
      <c r="J3277" s="27"/>
      <c r="K3277" s="62"/>
      <c r="L3277" s="12"/>
      <c r="M3277" s="191"/>
      <c r="N3277" s="130"/>
    </row>
    <row r="3278" spans="1:14" x14ac:dyDescent="0.25">
      <c r="A3278" s="63" t="s">
        <v>1136</v>
      </c>
      <c r="B3278" s="71" t="s">
        <v>1137</v>
      </c>
      <c r="C3278" s="2">
        <v>4052899631625</v>
      </c>
      <c r="D3278" s="103"/>
      <c r="E3278" s="127"/>
      <c r="F3278" s="34" t="s">
        <v>1657</v>
      </c>
      <c r="G3278" s="161" t="str">
        <f>HYPERLINK("https://ledvance.com/pt/product-datasheet/262494/261437","Ficha Técnica")</f>
        <v>Ficha Técnica</v>
      </c>
      <c r="H3278" s="15">
        <v>24</v>
      </c>
      <c r="I3278" s="163"/>
      <c r="J3278" s="15">
        <v>2</v>
      </c>
      <c r="K3278" s="163" t="s">
        <v>46</v>
      </c>
      <c r="L3278" s="15"/>
      <c r="M3278" s="188">
        <v>114.2</v>
      </c>
      <c r="N3278" s="176" t="s">
        <v>11</v>
      </c>
    </row>
    <row r="3279" spans="1:14" x14ac:dyDescent="0.25">
      <c r="A3279" s="63" t="s">
        <v>1136</v>
      </c>
      <c r="B3279" s="71" t="s">
        <v>1138</v>
      </c>
      <c r="C3279" s="2">
        <v>4062172224642</v>
      </c>
      <c r="D3279" s="103"/>
      <c r="E3279" s="127"/>
      <c r="F3279" s="34" t="s">
        <v>1657</v>
      </c>
      <c r="G3279" s="161" t="str">
        <f>HYPERLINK("https://ledvance.com/pt/product-datasheet/7932/194091","Ficha Técnica")</f>
        <v>Ficha Técnica</v>
      </c>
      <c r="H3279" s="15">
        <v>48</v>
      </c>
      <c r="I3279" s="163"/>
      <c r="J3279" s="15"/>
      <c r="K3279" s="163" t="s">
        <v>46</v>
      </c>
      <c r="L3279" s="15"/>
      <c r="M3279" s="188">
        <v>80.3</v>
      </c>
      <c r="N3279" s="176" t="s">
        <v>11</v>
      </c>
    </row>
    <row r="3280" spans="1:14" x14ac:dyDescent="0.25">
      <c r="A3280" s="63" t="s">
        <v>1136</v>
      </c>
      <c r="B3280" s="71" t="s">
        <v>1139</v>
      </c>
      <c r="C3280" s="2">
        <v>4052899583221</v>
      </c>
      <c r="D3280" s="103"/>
      <c r="E3280" s="127"/>
      <c r="F3280" s="34" t="s">
        <v>1657</v>
      </c>
      <c r="G3280" s="161" t="str">
        <f>HYPERLINK("https://ledvance.com/pt/product-datasheet/8043/137707","Ficha Técnica")</f>
        <v>Ficha Técnica</v>
      </c>
      <c r="H3280" s="15">
        <v>25</v>
      </c>
      <c r="I3280" s="163"/>
      <c r="J3280" s="15">
        <v>3</v>
      </c>
      <c r="K3280" s="163" t="s">
        <v>46</v>
      </c>
      <c r="L3280" s="15"/>
      <c r="M3280" s="188">
        <v>60</v>
      </c>
      <c r="N3280" s="176" t="s">
        <v>11</v>
      </c>
    </row>
    <row r="3281" spans="1:16" x14ac:dyDescent="0.25">
      <c r="A3281" s="63" t="s">
        <v>1136</v>
      </c>
      <c r="B3281" s="71" t="s">
        <v>1655</v>
      </c>
      <c r="C3281" s="2">
        <v>4008321410078</v>
      </c>
      <c r="D3281" s="103"/>
      <c r="E3281" s="127"/>
      <c r="F3281" s="34" t="s">
        <v>1657</v>
      </c>
      <c r="G3281" s="161" t="str">
        <f>HYPERLINK("https://ledvance.com/pt/product-datasheet/182375/126410","Ficha Técnica")</f>
        <v>Ficha Técnica</v>
      </c>
      <c r="H3281" s="15">
        <v>20</v>
      </c>
      <c r="I3281" s="163"/>
      <c r="J3281" s="15" t="s">
        <v>1935</v>
      </c>
      <c r="K3281" s="163" t="s">
        <v>46</v>
      </c>
      <c r="L3281" s="15"/>
      <c r="M3281" s="188">
        <v>230.3</v>
      </c>
      <c r="N3281" s="176" t="s">
        <v>11</v>
      </c>
    </row>
    <row r="3282" spans="1:16" x14ac:dyDescent="0.25">
      <c r="A3282" s="63" t="s">
        <v>1136</v>
      </c>
      <c r="B3282" s="71" t="s">
        <v>1656</v>
      </c>
      <c r="C3282" s="2">
        <v>4008321957047</v>
      </c>
      <c r="D3282" s="103"/>
      <c r="E3282" s="127"/>
      <c r="F3282" s="34" t="s">
        <v>1657</v>
      </c>
      <c r="G3282" s="161" t="str">
        <f>HYPERLINK("https://ledvance.com/pt/product-datasheet/182376/130995","Ficha Técnica")</f>
        <v>Ficha Técnica</v>
      </c>
      <c r="H3282" s="15">
        <v>20</v>
      </c>
      <c r="I3282" s="163"/>
      <c r="J3282" s="15" t="s">
        <v>1935</v>
      </c>
      <c r="K3282" s="163" t="s">
        <v>46</v>
      </c>
      <c r="L3282" s="15"/>
      <c r="M3282" s="188">
        <v>238.2</v>
      </c>
      <c r="N3282" s="176" t="s">
        <v>11</v>
      </c>
    </row>
    <row r="3283" spans="1:16" x14ac:dyDescent="0.25">
      <c r="A3283" s="63" t="s">
        <v>1136</v>
      </c>
      <c r="B3283" s="71" t="s">
        <v>1140</v>
      </c>
      <c r="C3283" s="2">
        <v>4062172016537</v>
      </c>
      <c r="D3283" s="103"/>
      <c r="E3283" s="127"/>
      <c r="F3283" s="34" t="s">
        <v>1657</v>
      </c>
      <c r="G3283" s="161" t="str">
        <f>HYPERLINK("https://ledvance.com/pt/product-datasheet/7868/125077","Ficha Técnica")</f>
        <v>Ficha Técnica</v>
      </c>
      <c r="H3283" s="15">
        <v>25</v>
      </c>
      <c r="I3283" s="163"/>
      <c r="J3283" s="15">
        <v>3</v>
      </c>
      <c r="K3283" s="163" t="s">
        <v>46</v>
      </c>
      <c r="L3283" s="15"/>
      <c r="M3283" s="188">
        <v>202.6</v>
      </c>
      <c r="N3283" s="176" t="s">
        <v>11</v>
      </c>
    </row>
    <row r="3284" spans="1:16" x14ac:dyDescent="0.25">
      <c r="A3284" s="63" t="s">
        <v>1136</v>
      </c>
      <c r="B3284" s="71" t="s">
        <v>1141</v>
      </c>
      <c r="C3284" s="2">
        <v>4052899988781</v>
      </c>
      <c r="D3284" s="103"/>
      <c r="E3284" s="127"/>
      <c r="F3284" s="34" t="s">
        <v>1657</v>
      </c>
      <c r="G3284" s="161" t="str">
        <f>HYPERLINK("https://ledvance.com/pt/product-datasheet/7865/44802","Ficha Técnica")</f>
        <v>Ficha Técnica</v>
      </c>
      <c r="H3284" s="15">
        <v>25</v>
      </c>
      <c r="I3284" s="163"/>
      <c r="J3284" s="15">
        <v>3</v>
      </c>
      <c r="K3284" s="163" t="s">
        <v>46</v>
      </c>
      <c r="L3284" s="15"/>
      <c r="M3284" s="188">
        <v>147.30000000000001</v>
      </c>
      <c r="N3284" s="176" t="s">
        <v>11</v>
      </c>
    </row>
    <row r="3285" spans="1:16" x14ac:dyDescent="0.25">
      <c r="A3285" s="63" t="s">
        <v>1136</v>
      </c>
      <c r="B3285" s="71" t="s">
        <v>1142</v>
      </c>
      <c r="C3285" s="2">
        <v>4052899544819</v>
      </c>
      <c r="D3285" s="103"/>
      <c r="E3285" s="127"/>
      <c r="F3285" s="34" t="s">
        <v>1657</v>
      </c>
      <c r="G3285" s="161" t="str">
        <f>HYPERLINK("https://ledvance.com/pt/product-datasheet/7829/44805","Ficha Técnica")</f>
        <v>Ficha Técnica</v>
      </c>
      <c r="H3285" s="15">
        <v>60</v>
      </c>
      <c r="I3285" s="163"/>
      <c r="J3285" s="15">
        <v>3</v>
      </c>
      <c r="K3285" s="163" t="s">
        <v>46</v>
      </c>
      <c r="L3285" s="15"/>
      <c r="M3285" s="188">
        <v>130.9</v>
      </c>
      <c r="N3285" s="176" t="s">
        <v>11</v>
      </c>
    </row>
    <row r="3286" spans="1:16" x14ac:dyDescent="0.25">
      <c r="A3286" s="63" t="s">
        <v>1136</v>
      </c>
      <c r="B3286" s="71" t="s">
        <v>1143</v>
      </c>
      <c r="C3286" s="2">
        <v>4008321988645</v>
      </c>
      <c r="D3286" s="103"/>
      <c r="E3286" s="127"/>
      <c r="F3286" s="34" t="s">
        <v>1657</v>
      </c>
      <c r="G3286" s="161" t="str">
        <f>HYPERLINK("https://ledvance.com/pt/product-datasheet/7866/127920","Ficha Técnica")</f>
        <v>Ficha Técnica</v>
      </c>
      <c r="H3286" s="15">
        <v>25</v>
      </c>
      <c r="I3286" s="163"/>
      <c r="J3286" s="15">
        <v>4</v>
      </c>
      <c r="K3286" s="163" t="s">
        <v>46</v>
      </c>
      <c r="L3286" s="15"/>
      <c r="M3286" s="188">
        <v>71.5</v>
      </c>
      <c r="N3286" s="176" t="s">
        <v>11</v>
      </c>
    </row>
    <row r="3287" spans="1:16" x14ac:dyDescent="0.25">
      <c r="A3287" s="63" t="s">
        <v>1136</v>
      </c>
      <c r="B3287" s="71" t="s">
        <v>1144</v>
      </c>
      <c r="C3287" s="2">
        <v>4052899955646</v>
      </c>
      <c r="D3287" s="103"/>
      <c r="E3287" s="127"/>
      <c r="F3287" s="34" t="s">
        <v>1657</v>
      </c>
      <c r="G3287" s="161" t="str">
        <f>HYPERLINK("https://ledvance.com/pt/product-datasheet/7867/126710","Ficha Técnica")</f>
        <v>Ficha Técnica</v>
      </c>
      <c r="H3287" s="15">
        <v>45</v>
      </c>
      <c r="I3287" s="163"/>
      <c r="J3287" s="15">
        <v>4</v>
      </c>
      <c r="K3287" s="163" t="s">
        <v>46</v>
      </c>
      <c r="L3287" s="15"/>
      <c r="M3287" s="188">
        <v>91.4</v>
      </c>
      <c r="N3287" s="176" t="s">
        <v>11</v>
      </c>
    </row>
    <row r="3288" spans="1:16" x14ac:dyDescent="0.25">
      <c r="A3288" s="63" t="s">
        <v>1136</v>
      </c>
      <c r="B3288" s="71" t="s">
        <v>1145</v>
      </c>
      <c r="C3288" s="2">
        <v>4052899914636</v>
      </c>
      <c r="D3288" s="103"/>
      <c r="E3288" s="127"/>
      <c r="F3288" s="34" t="s">
        <v>1657</v>
      </c>
      <c r="G3288" s="161" t="str">
        <f>HYPERLINK("https://ledvance.com/pt/product-datasheet/7870/125971","Ficha Técnica")</f>
        <v>Ficha Técnica</v>
      </c>
      <c r="H3288" s="15">
        <v>25</v>
      </c>
      <c r="I3288" s="163"/>
      <c r="J3288" s="15"/>
      <c r="K3288" s="163" t="s">
        <v>46</v>
      </c>
      <c r="L3288" s="15"/>
      <c r="M3288" s="188">
        <v>71.5</v>
      </c>
      <c r="N3288" s="176" t="s">
        <v>11</v>
      </c>
    </row>
    <row r="3289" spans="1:16" x14ac:dyDescent="0.25">
      <c r="A3289" s="63" t="s">
        <v>1136</v>
      </c>
      <c r="B3289" s="71" t="s">
        <v>1146</v>
      </c>
      <c r="C3289" s="2">
        <v>4052899921481</v>
      </c>
      <c r="D3289" s="103"/>
      <c r="E3289" s="127"/>
      <c r="F3289" s="34" t="s">
        <v>1657</v>
      </c>
      <c r="G3289" s="161" t="str">
        <f>HYPERLINK("https://ledvance.com/pt/product-datasheet/7872/125962","Ficha Técnica")</f>
        <v>Ficha Técnica</v>
      </c>
      <c r="H3289" s="15">
        <v>25</v>
      </c>
      <c r="I3289" s="163"/>
      <c r="J3289" s="15" t="s">
        <v>1933</v>
      </c>
      <c r="K3289" s="163" t="s">
        <v>46</v>
      </c>
      <c r="L3289" s="15"/>
      <c r="M3289" s="188">
        <v>123.1</v>
      </c>
      <c r="N3289" s="176" t="s">
        <v>11</v>
      </c>
    </row>
    <row r="3290" spans="1:16" x14ac:dyDescent="0.25">
      <c r="A3290" s="63" t="s">
        <v>1136</v>
      </c>
      <c r="B3290" s="71" t="s">
        <v>1147</v>
      </c>
      <c r="C3290" s="2">
        <v>4052899195967</v>
      </c>
      <c r="D3290" s="103"/>
      <c r="E3290" s="127"/>
      <c r="F3290" s="34" t="s">
        <v>1657</v>
      </c>
      <c r="G3290" s="161" t="str">
        <f>HYPERLINK("https://ledvance.com/pt/product-datasheet/7876/126029","Ficha Técnica")</f>
        <v>Ficha Técnica</v>
      </c>
      <c r="H3290" s="15">
        <v>10</v>
      </c>
      <c r="I3290" s="163"/>
      <c r="J3290" s="15"/>
      <c r="K3290" s="163"/>
      <c r="L3290" s="15"/>
      <c r="M3290" s="188">
        <v>194.6</v>
      </c>
      <c r="N3290" s="176" t="s">
        <v>11</v>
      </c>
    </row>
    <row r="3291" spans="1:16" x14ac:dyDescent="0.25">
      <c r="A3291" s="63" t="s">
        <v>1136</v>
      </c>
      <c r="B3291" s="71" t="s">
        <v>1148</v>
      </c>
      <c r="C3291" s="2">
        <v>4008321916648</v>
      </c>
      <c r="D3291" s="103"/>
      <c r="E3291" s="127"/>
      <c r="F3291" s="34" t="s">
        <v>1657</v>
      </c>
      <c r="G3291" s="161" t="str">
        <f>HYPERLINK("https://ledvance.com/pt/product-datasheet/7886/126378","Ficha Técnica")</f>
        <v>Ficha Técnica</v>
      </c>
      <c r="H3291" s="15">
        <v>10</v>
      </c>
      <c r="I3291" s="163"/>
      <c r="J3291" s="15"/>
      <c r="K3291" s="163" t="s">
        <v>46</v>
      </c>
      <c r="L3291" s="15"/>
      <c r="M3291" s="188">
        <v>146.9</v>
      </c>
      <c r="N3291" s="176" t="s">
        <v>11</v>
      </c>
    </row>
    <row r="3292" spans="1:16" x14ac:dyDescent="0.25">
      <c r="A3292" s="63" t="s">
        <v>1136</v>
      </c>
      <c r="B3292" s="71" t="s">
        <v>1149</v>
      </c>
      <c r="C3292" s="2">
        <v>4008321710871</v>
      </c>
      <c r="D3292" s="103"/>
      <c r="E3292" s="127"/>
      <c r="F3292" s="34" t="s">
        <v>1657</v>
      </c>
      <c r="G3292" s="161" t="str">
        <f>HYPERLINK("https://ledvance.com/pt/product-datasheet/7950/140307","Ficha Técnica")</f>
        <v>Ficha Técnica</v>
      </c>
      <c r="H3292" s="15">
        <v>10</v>
      </c>
      <c r="I3292" s="163"/>
      <c r="J3292" s="15">
        <v>20</v>
      </c>
      <c r="K3292" s="163" t="s">
        <v>46</v>
      </c>
      <c r="L3292" s="15"/>
      <c r="M3292" s="188">
        <v>2579.3000000000002</v>
      </c>
      <c r="N3292" s="176" t="s">
        <v>11</v>
      </c>
    </row>
    <row r="3293" spans="1:16" x14ac:dyDescent="0.25">
      <c r="A3293" s="63" t="s">
        <v>1136</v>
      </c>
      <c r="B3293" s="71" t="s">
        <v>1150</v>
      </c>
      <c r="C3293" s="2">
        <v>4062172020008</v>
      </c>
      <c r="D3293" s="103"/>
      <c r="E3293" s="127"/>
      <c r="F3293" s="34" t="s">
        <v>1657</v>
      </c>
      <c r="G3293" s="161" t="str">
        <f>HYPERLINK("https://ledvance.com/pt/product-datasheet/7966/125639","Ficha Técnica")</f>
        <v>Ficha Técnica</v>
      </c>
      <c r="H3293" s="15">
        <v>25</v>
      </c>
      <c r="I3293" s="163"/>
      <c r="J3293" s="15"/>
      <c r="K3293" s="163"/>
      <c r="L3293" s="15"/>
      <c r="M3293" s="188">
        <v>2227.6</v>
      </c>
      <c r="N3293" s="176" t="s">
        <v>11</v>
      </c>
    </row>
    <row r="3294" spans="1:16" x14ac:dyDescent="0.25">
      <c r="A3294" s="63" t="s">
        <v>1136</v>
      </c>
      <c r="B3294" s="71" t="s">
        <v>1151</v>
      </c>
      <c r="C3294" s="2">
        <v>4052899043954</v>
      </c>
      <c r="D3294" s="103"/>
      <c r="E3294" s="127"/>
      <c r="F3294" s="34" t="s">
        <v>1657</v>
      </c>
      <c r="G3294" s="161" t="str">
        <f>HYPERLINK("https://ledvance.com/pt/product-datasheet/7951/132920","Ficha Técnica")</f>
        <v>Ficha Técnica</v>
      </c>
      <c r="H3294" s="15">
        <v>25</v>
      </c>
      <c r="I3294" s="163"/>
      <c r="J3294" s="15"/>
      <c r="K3294" s="163" t="s">
        <v>46</v>
      </c>
      <c r="L3294" s="15"/>
      <c r="M3294" s="188">
        <v>107.2</v>
      </c>
      <c r="N3294" s="176" t="s">
        <v>11</v>
      </c>
    </row>
    <row r="3295" spans="1:16" s="33" customFormat="1" x14ac:dyDescent="0.25">
      <c r="A3295" s="63" t="s">
        <v>1136</v>
      </c>
      <c r="B3295" s="71" t="s">
        <v>1152</v>
      </c>
      <c r="C3295" s="2">
        <v>4052899930292</v>
      </c>
      <c r="D3295" s="103"/>
      <c r="E3295" s="127"/>
      <c r="F3295" s="47" t="s">
        <v>1657</v>
      </c>
      <c r="G3295" s="161" t="str">
        <f>HYPERLINK("https://ledvance.com/pt/product-datasheet/7952/132926","Ficha Técnica")</f>
        <v>Ficha Técnica</v>
      </c>
      <c r="H3295" s="48">
        <v>10</v>
      </c>
      <c r="I3295" s="166"/>
      <c r="J3295" s="48"/>
      <c r="K3295" s="166" t="s">
        <v>46</v>
      </c>
      <c r="L3295" s="48"/>
      <c r="M3295" s="188">
        <v>161.19999999999999</v>
      </c>
      <c r="N3295" s="176" t="s">
        <v>11</v>
      </c>
      <c r="O3295" s="7"/>
      <c r="P3295" s="7"/>
    </row>
    <row r="3296" spans="1:16" x14ac:dyDescent="0.25">
      <c r="A3296" s="63" t="s">
        <v>1136</v>
      </c>
      <c r="B3296" s="71" t="s">
        <v>1153</v>
      </c>
      <c r="C3296" s="2">
        <v>4008321379269</v>
      </c>
      <c r="D3296" s="103"/>
      <c r="E3296" s="127"/>
      <c r="F3296" s="34" t="s">
        <v>1657</v>
      </c>
      <c r="G3296" s="161" t="str">
        <f>HYPERLINK("https://ledvance.com/pt/product-datasheet/7944/131035","Ficha Técnica")</f>
        <v>Ficha Técnica</v>
      </c>
      <c r="H3296" s="15">
        <v>25</v>
      </c>
      <c r="I3296" s="163"/>
      <c r="J3296" s="15" t="s">
        <v>1934</v>
      </c>
      <c r="K3296" s="163" t="s">
        <v>46</v>
      </c>
      <c r="L3296" s="15"/>
      <c r="M3296" s="188">
        <v>123.1</v>
      </c>
      <c r="N3296" s="176" t="s">
        <v>11</v>
      </c>
    </row>
    <row r="3297" spans="1:14" x14ac:dyDescent="0.25">
      <c r="A3297" s="63" t="s">
        <v>1136</v>
      </c>
      <c r="B3297" s="71" t="s">
        <v>1154</v>
      </c>
      <c r="C3297" s="2">
        <v>4052899141728</v>
      </c>
      <c r="D3297" s="103"/>
      <c r="E3297" s="127"/>
      <c r="F3297" s="34" t="s">
        <v>1657</v>
      </c>
      <c r="G3297" s="161" t="str">
        <f>HYPERLINK("https://ledvance.com/pt/product-datasheet/8015/133876","Ficha Técnica")</f>
        <v>Ficha Técnica</v>
      </c>
      <c r="H3297" s="15">
        <v>25</v>
      </c>
      <c r="I3297" s="163"/>
      <c r="J3297" s="15" t="s">
        <v>1936</v>
      </c>
      <c r="K3297" s="163" t="s">
        <v>46</v>
      </c>
      <c r="L3297" s="15"/>
      <c r="M3297" s="188">
        <v>116.7</v>
      </c>
      <c r="N3297" s="176" t="s">
        <v>11</v>
      </c>
    </row>
    <row r="3298" spans="1:14" x14ac:dyDescent="0.25">
      <c r="A3298" s="63" t="s">
        <v>1136</v>
      </c>
      <c r="B3298" s="71" t="s">
        <v>1155</v>
      </c>
      <c r="C3298" s="2">
        <v>4052899230491</v>
      </c>
      <c r="D3298" s="103"/>
      <c r="E3298" s="127"/>
      <c r="F3298" s="34" t="s">
        <v>1657</v>
      </c>
      <c r="G3298" s="161" t="str">
        <f>HYPERLINK("https://ledvance.com/pt/product-datasheet/7946/131763","Ficha Técnica")</f>
        <v>Ficha Técnica</v>
      </c>
      <c r="H3298" s="15">
        <v>25</v>
      </c>
      <c r="I3298" s="163"/>
      <c r="J3298" s="15" t="s">
        <v>1848</v>
      </c>
      <c r="K3298" s="163" t="s">
        <v>46</v>
      </c>
      <c r="L3298" s="15"/>
      <c r="M3298" s="188">
        <v>123.1</v>
      </c>
      <c r="N3298" s="176" t="s">
        <v>11</v>
      </c>
    </row>
    <row r="3299" spans="1:14" x14ac:dyDescent="0.25">
      <c r="A3299" s="63" t="s">
        <v>1136</v>
      </c>
      <c r="B3299" s="71" t="s">
        <v>1156</v>
      </c>
      <c r="C3299" s="2">
        <v>4008321292599</v>
      </c>
      <c r="D3299" s="103"/>
      <c r="E3299" s="127"/>
      <c r="F3299" s="34" t="s">
        <v>1657</v>
      </c>
      <c r="G3299" s="161" t="str">
        <f>HYPERLINK("https://ledvance.com/pt/product-datasheet/7970/134249","Ficha Técnica")</f>
        <v>Ficha Técnica</v>
      </c>
      <c r="H3299" s="15">
        <v>25</v>
      </c>
      <c r="I3299" s="163"/>
      <c r="J3299" s="15">
        <v>4</v>
      </c>
      <c r="K3299" s="163" t="s">
        <v>46</v>
      </c>
      <c r="L3299" s="15"/>
      <c r="M3299" s="188">
        <v>238.2</v>
      </c>
      <c r="N3299" s="176" t="s">
        <v>11</v>
      </c>
    </row>
    <row r="3300" spans="1:14" x14ac:dyDescent="0.25">
      <c r="A3300" s="63" t="s">
        <v>1136</v>
      </c>
      <c r="B3300" s="71" t="s">
        <v>1157</v>
      </c>
      <c r="C3300" s="2">
        <v>4008321301093</v>
      </c>
      <c r="D3300" s="103"/>
      <c r="E3300" s="127"/>
      <c r="F3300" s="34" t="s">
        <v>1657</v>
      </c>
      <c r="G3300" s="161" t="str">
        <f>HYPERLINK("https://ledvance.com/pt/product-datasheet/7971/134252","Ficha Técnica")</f>
        <v>Ficha Técnica</v>
      </c>
      <c r="H3300" s="15">
        <v>16</v>
      </c>
      <c r="I3300" s="163"/>
      <c r="J3300" s="15">
        <v>5</v>
      </c>
      <c r="K3300" s="163" t="s">
        <v>46</v>
      </c>
      <c r="L3300" s="15"/>
      <c r="M3300" s="188">
        <v>277.89999999999998</v>
      </c>
      <c r="N3300" s="176" t="s">
        <v>11</v>
      </c>
    </row>
    <row r="3301" spans="1:14" x14ac:dyDescent="0.25">
      <c r="A3301" s="63" t="s">
        <v>1136</v>
      </c>
      <c r="B3301" s="71" t="s">
        <v>1158</v>
      </c>
      <c r="C3301" s="2">
        <v>4008321533364</v>
      </c>
      <c r="D3301" s="103"/>
      <c r="E3301" s="127"/>
      <c r="F3301" s="34" t="s">
        <v>1657</v>
      </c>
      <c r="G3301" s="161" t="str">
        <f>HYPERLINK("https://ledvance.com/pt/product-datasheet/7978/132038","Ficha Técnica")</f>
        <v>Ficha Técnica</v>
      </c>
      <c r="H3301" s="15">
        <v>8</v>
      </c>
      <c r="I3301" s="163"/>
      <c r="J3301" s="15">
        <v>5</v>
      </c>
      <c r="K3301" s="163" t="s">
        <v>46</v>
      </c>
      <c r="L3301" s="15"/>
      <c r="M3301" s="188">
        <v>377.1</v>
      </c>
      <c r="N3301" s="176" t="s">
        <v>11</v>
      </c>
    </row>
    <row r="3302" spans="1:14" x14ac:dyDescent="0.25">
      <c r="A3302" s="63" t="s">
        <v>1136</v>
      </c>
      <c r="B3302" s="71" t="s">
        <v>1159</v>
      </c>
      <c r="C3302" s="2">
        <v>4062172044776</v>
      </c>
      <c r="D3302" s="103"/>
      <c r="E3302" s="127"/>
      <c r="F3302" s="34" t="s">
        <v>1657</v>
      </c>
      <c r="G3302" s="161" t="str">
        <f>HYPERLINK("https://ledvance.com/pt/product-datasheet/322271/125035","Ficha Técnica")</f>
        <v>Ficha Técnica</v>
      </c>
      <c r="H3302" s="15">
        <v>25</v>
      </c>
      <c r="I3302" s="163"/>
      <c r="J3302" s="15">
        <v>1</v>
      </c>
      <c r="K3302" s="163" t="s">
        <v>46</v>
      </c>
      <c r="L3302" s="15"/>
      <c r="M3302" s="188">
        <v>104.1</v>
      </c>
      <c r="N3302" s="176" t="s">
        <v>11</v>
      </c>
    </row>
    <row r="3303" spans="1:14" x14ac:dyDescent="0.25">
      <c r="A3303" s="63" t="s">
        <v>1136</v>
      </c>
      <c r="B3303" s="71" t="s">
        <v>1160</v>
      </c>
      <c r="C3303" s="2">
        <v>4062172050500</v>
      </c>
      <c r="D3303" s="103"/>
      <c r="E3303" s="127"/>
      <c r="F3303" s="34" t="s">
        <v>1657</v>
      </c>
      <c r="G3303" s="161" t="str">
        <f>HYPERLINK("https://ledvance.com/pt/product-datasheet/7967/130340","Ficha Técnica")</f>
        <v>Ficha Técnica</v>
      </c>
      <c r="H3303" s="15">
        <v>25</v>
      </c>
      <c r="I3303" s="163"/>
      <c r="J3303" s="15">
        <v>30</v>
      </c>
      <c r="K3303" s="163" t="s">
        <v>46</v>
      </c>
      <c r="L3303" s="15"/>
      <c r="M3303" s="188">
        <v>1527.1</v>
      </c>
      <c r="N3303" s="176" t="s">
        <v>11</v>
      </c>
    </row>
    <row r="3304" spans="1:14" x14ac:dyDescent="0.25">
      <c r="A3304" s="63" t="s">
        <v>1136</v>
      </c>
      <c r="B3304" s="71" t="s">
        <v>1161</v>
      </c>
      <c r="C3304" s="2">
        <v>4050300803135</v>
      </c>
      <c r="D3304" s="103"/>
      <c r="E3304" s="127"/>
      <c r="F3304" s="34" t="s">
        <v>1657</v>
      </c>
      <c r="G3304" s="161" t="str">
        <f>HYPERLINK("https://ledvance.com/pt/product-datasheet/7983/130958","Ficha Técnica")</f>
        <v>Ficha Técnica</v>
      </c>
      <c r="H3304" s="15">
        <v>25</v>
      </c>
      <c r="I3304" s="163"/>
      <c r="J3304" s="15">
        <v>1</v>
      </c>
      <c r="K3304" s="163" t="s">
        <v>46</v>
      </c>
      <c r="L3304" s="15"/>
      <c r="M3304" s="188">
        <v>39.799999999999997</v>
      </c>
      <c r="N3304" s="176" t="s">
        <v>11</v>
      </c>
    </row>
    <row r="3305" spans="1:14" x14ac:dyDescent="0.25">
      <c r="A3305" s="63" t="s">
        <v>1136</v>
      </c>
      <c r="B3305" s="71" t="s">
        <v>1162</v>
      </c>
      <c r="C3305" s="2">
        <v>4008321480798</v>
      </c>
      <c r="D3305" s="103"/>
      <c r="E3305" s="127"/>
      <c r="F3305" s="34" t="s">
        <v>1657</v>
      </c>
      <c r="G3305" s="161" t="str">
        <f>HYPERLINK("https://ledvance.com/pt/product-datasheet/7989/126417","Ficha Técnica")</f>
        <v>Ficha Técnica</v>
      </c>
      <c r="H3305" s="15">
        <v>20</v>
      </c>
      <c r="I3305" s="163"/>
      <c r="J3305" s="15"/>
      <c r="K3305" s="163"/>
      <c r="L3305" s="15"/>
      <c r="M3305" s="188">
        <v>39.799999999999997</v>
      </c>
      <c r="N3305" s="176" t="s">
        <v>11</v>
      </c>
    </row>
    <row r="3306" spans="1:14" x14ac:dyDescent="0.25">
      <c r="A3306" s="63" t="s">
        <v>1136</v>
      </c>
      <c r="B3306" s="71" t="s">
        <v>1163</v>
      </c>
      <c r="C3306" s="2">
        <v>4052899920293</v>
      </c>
      <c r="D3306" s="103"/>
      <c r="E3306" s="127"/>
      <c r="F3306" s="34" t="s">
        <v>1657</v>
      </c>
      <c r="G3306" s="161" t="str">
        <f>HYPERLINK("https://ledvance.com/pt/product-datasheet/7990/132923","Ficha Técnica")</f>
        <v>Ficha Técnica</v>
      </c>
      <c r="H3306" s="15">
        <v>10</v>
      </c>
      <c r="I3306" s="163"/>
      <c r="J3306" s="15"/>
      <c r="K3306" s="163"/>
      <c r="L3306" s="15"/>
      <c r="M3306" s="188">
        <v>43.8</v>
      </c>
      <c r="N3306" s="176" t="s">
        <v>11</v>
      </c>
    </row>
    <row r="3307" spans="1:14" x14ac:dyDescent="0.25">
      <c r="A3307" s="63" t="s">
        <v>1136</v>
      </c>
      <c r="B3307" s="71" t="s">
        <v>1164</v>
      </c>
      <c r="C3307" s="2">
        <v>4052899553880</v>
      </c>
      <c r="D3307" s="103"/>
      <c r="E3307" s="127"/>
      <c r="F3307" s="34" t="s">
        <v>1657</v>
      </c>
      <c r="G3307" s="161" t="str">
        <f>HYPERLINK("https://ledvance.com/pt/product-datasheet/7979/137685","Ficha Técnica")</f>
        <v>Ficha Técnica</v>
      </c>
      <c r="H3307" s="15">
        <v>200</v>
      </c>
      <c r="I3307" s="163"/>
      <c r="J3307" s="15">
        <v>30</v>
      </c>
      <c r="K3307" s="163" t="s">
        <v>46</v>
      </c>
      <c r="L3307" s="15"/>
      <c r="M3307" s="188">
        <v>273.8</v>
      </c>
      <c r="N3307" s="176" t="s">
        <v>11</v>
      </c>
    </row>
    <row r="3308" spans="1:14" x14ac:dyDescent="0.25">
      <c r="A3308" s="63" t="s">
        <v>1136</v>
      </c>
      <c r="B3308" s="71" t="s">
        <v>1165</v>
      </c>
      <c r="C3308" s="2">
        <v>4052899173385</v>
      </c>
      <c r="D3308" s="103"/>
      <c r="E3308" s="127"/>
      <c r="F3308" s="34" t="s">
        <v>1657</v>
      </c>
      <c r="G3308" s="161" t="str">
        <f>HYPERLINK("https://ledvance.com/pt/product-datasheet/7991/131069","Ficha Técnica")</f>
        <v>Ficha Técnica</v>
      </c>
      <c r="H3308" s="15">
        <v>10</v>
      </c>
      <c r="I3308" s="163"/>
      <c r="J3308" s="15"/>
      <c r="K3308" s="163"/>
      <c r="L3308" s="15"/>
      <c r="M3308" s="188">
        <v>55.7</v>
      </c>
      <c r="N3308" s="176" t="s">
        <v>11</v>
      </c>
    </row>
    <row r="3309" spans="1:14" x14ac:dyDescent="0.25">
      <c r="A3309" s="63" t="s">
        <v>1136</v>
      </c>
      <c r="B3309" s="71" t="s">
        <v>1166</v>
      </c>
      <c r="C3309" s="2">
        <v>4008321916662</v>
      </c>
      <c r="D3309" s="103"/>
      <c r="E3309" s="127"/>
      <c r="F3309" s="34" t="s">
        <v>1657</v>
      </c>
      <c r="G3309" s="161" t="str">
        <f>HYPERLINK("https://ledvance.com/pt/product-datasheet/7993/130736","Ficha Técnica")</f>
        <v>Ficha Técnica</v>
      </c>
      <c r="H3309" s="15">
        <v>10</v>
      </c>
      <c r="I3309" s="163"/>
      <c r="J3309" s="15"/>
      <c r="K3309" s="163"/>
      <c r="L3309" s="15"/>
      <c r="M3309" s="188">
        <v>31.9</v>
      </c>
      <c r="N3309" s="176" t="s">
        <v>11</v>
      </c>
    </row>
    <row r="3310" spans="1:14" x14ac:dyDescent="0.25">
      <c r="A3310" s="63" t="s">
        <v>1136</v>
      </c>
      <c r="B3310" s="71" t="s">
        <v>1167</v>
      </c>
      <c r="C3310" s="2">
        <v>4008321392091</v>
      </c>
      <c r="D3310" s="103"/>
      <c r="E3310" s="127"/>
      <c r="F3310" s="34" t="s">
        <v>1657</v>
      </c>
      <c r="G3310" s="161" t="str">
        <f>HYPERLINK("https://ledvance.com/pt/product-datasheet/8035/126400","Ficha Técnica")</f>
        <v>Ficha Técnica</v>
      </c>
      <c r="H3310" s="15">
        <v>100</v>
      </c>
      <c r="I3310" s="163"/>
      <c r="J3310" s="15"/>
      <c r="K3310" s="163"/>
      <c r="L3310" s="15"/>
      <c r="M3310" s="188">
        <v>16.8</v>
      </c>
      <c r="N3310" s="176" t="s">
        <v>11</v>
      </c>
    </row>
    <row r="3311" spans="1:14" x14ac:dyDescent="0.25">
      <c r="A3311" s="63" t="s">
        <v>1136</v>
      </c>
      <c r="B3311" s="71" t="s">
        <v>1168</v>
      </c>
      <c r="C3311" s="2">
        <v>4008321083692</v>
      </c>
      <c r="D3311" s="103"/>
      <c r="E3311" s="127"/>
      <c r="F3311" s="34" t="s">
        <v>1657</v>
      </c>
      <c r="G3311" s="161" t="str">
        <f>HYPERLINK("https://ledvance.com/pt/product-datasheet/8034/137518","Ficha Técnica")</f>
        <v>Ficha Técnica</v>
      </c>
      <c r="H3311" s="15">
        <v>40</v>
      </c>
      <c r="I3311" s="163"/>
      <c r="J3311" s="15"/>
      <c r="K3311" s="163"/>
      <c r="L3311" s="15"/>
      <c r="M3311" s="188">
        <v>39.799999999999997</v>
      </c>
      <c r="N3311" s="176" t="s">
        <v>11</v>
      </c>
    </row>
    <row r="3312" spans="1:14" x14ac:dyDescent="0.25">
      <c r="A3312" s="63" t="s">
        <v>1136</v>
      </c>
      <c r="B3312" s="71" t="s">
        <v>1169</v>
      </c>
      <c r="C3312" s="2">
        <v>4062172072045</v>
      </c>
      <c r="D3312" s="103"/>
      <c r="E3312" s="127"/>
      <c r="F3312" s="34" t="s">
        <v>1657</v>
      </c>
      <c r="G3312" s="161" t="str">
        <f>HYPERLINK("https://ledvance.com/pt/product-datasheet/8064/133128","Ficha Técnica")</f>
        <v>Ficha Técnica</v>
      </c>
      <c r="H3312" s="15">
        <v>10</v>
      </c>
      <c r="I3312" s="163"/>
      <c r="J3312" s="15" t="s">
        <v>1934</v>
      </c>
      <c r="K3312" s="163" t="s">
        <v>46</v>
      </c>
      <c r="L3312" s="15">
        <v>5</v>
      </c>
      <c r="M3312" s="188">
        <v>139.69999999999999</v>
      </c>
      <c r="N3312" s="176" t="s">
        <v>11</v>
      </c>
    </row>
    <row r="3313" spans="1:14" x14ac:dyDescent="0.25">
      <c r="A3313" s="63" t="s">
        <v>1136</v>
      </c>
      <c r="B3313" s="71" t="s">
        <v>1170</v>
      </c>
      <c r="C3313" s="2">
        <v>4062172072069</v>
      </c>
      <c r="D3313" s="103"/>
      <c r="E3313" s="127"/>
      <c r="F3313" s="34" t="s">
        <v>1657</v>
      </c>
      <c r="G3313" s="161" t="str">
        <f>HYPERLINK("https://ledvance.com/pt/product-datasheet/8062/133110","Ficha Técnica")</f>
        <v>Ficha Técnica</v>
      </c>
      <c r="H3313" s="15">
        <v>25</v>
      </c>
      <c r="I3313" s="163"/>
      <c r="J3313" s="15" t="s">
        <v>1934</v>
      </c>
      <c r="K3313" s="163" t="s">
        <v>46</v>
      </c>
      <c r="L3313" s="15">
        <v>5</v>
      </c>
      <c r="M3313" s="188">
        <v>139.69999999999999</v>
      </c>
      <c r="N3313" s="176" t="s">
        <v>11</v>
      </c>
    </row>
    <row r="3314" spans="1:14" x14ac:dyDescent="0.25">
      <c r="A3314" s="63" t="s">
        <v>1136</v>
      </c>
      <c r="B3314" s="82" t="s">
        <v>1171</v>
      </c>
      <c r="C3314" s="2">
        <v>4052899630482</v>
      </c>
      <c r="D3314" s="149"/>
      <c r="E3314" s="150"/>
      <c r="F3314" s="34" t="s">
        <v>1657</v>
      </c>
      <c r="G3314" s="161" t="str">
        <f>HYPERLINK("https://ledvance.com/pt/product-datasheet/250467/247843","Ficha Técnica")</f>
        <v>Ficha Técnica</v>
      </c>
      <c r="H3314" s="15">
        <v>50</v>
      </c>
      <c r="I3314" s="163"/>
      <c r="J3314" s="15" t="s">
        <v>1934</v>
      </c>
      <c r="K3314" s="163" t="s">
        <v>138</v>
      </c>
      <c r="L3314" s="15">
        <v>5</v>
      </c>
      <c r="M3314" s="188">
        <v>175.3</v>
      </c>
      <c r="N3314" s="169" t="s">
        <v>11</v>
      </c>
    </row>
    <row r="3315" spans="1:14" x14ac:dyDescent="0.25">
      <c r="A3315" s="63" t="s">
        <v>1136</v>
      </c>
      <c r="B3315" s="82" t="s">
        <v>1172</v>
      </c>
      <c r="C3315" s="2">
        <v>4052899630475</v>
      </c>
      <c r="D3315" s="149"/>
      <c r="E3315" s="150"/>
      <c r="F3315" s="34" t="s">
        <v>1657</v>
      </c>
      <c r="G3315" s="161" t="str">
        <f>HYPERLINK("https://ledvance.com/pt/product-datasheet/250472/247852","Ficha Técnica")</f>
        <v>Ficha Técnica</v>
      </c>
      <c r="H3315" s="15">
        <v>24</v>
      </c>
      <c r="I3315" s="163"/>
      <c r="J3315" s="15" t="s">
        <v>1934</v>
      </c>
      <c r="K3315" s="163" t="s">
        <v>572</v>
      </c>
      <c r="L3315" s="15">
        <v>5</v>
      </c>
      <c r="M3315" s="188">
        <v>188.5</v>
      </c>
      <c r="N3315" s="169" t="s">
        <v>11</v>
      </c>
    </row>
    <row r="3316" spans="1:14" x14ac:dyDescent="0.25">
      <c r="A3316" s="63" t="s">
        <v>1136</v>
      </c>
      <c r="B3316" s="71" t="s">
        <v>1173</v>
      </c>
      <c r="C3316" s="2">
        <v>4062172072113</v>
      </c>
      <c r="D3316" s="103"/>
      <c r="E3316" s="127"/>
      <c r="F3316" s="34" t="s">
        <v>1657</v>
      </c>
      <c r="G3316" s="161" t="str">
        <f>HYPERLINK("https://ledvance.com/pt/product-datasheet/8065/133107","Ficha Técnica")</f>
        <v>Ficha Técnica</v>
      </c>
      <c r="H3316" s="15">
        <v>25</v>
      </c>
      <c r="I3316" s="163"/>
      <c r="J3316" s="15" t="s">
        <v>1934</v>
      </c>
      <c r="K3316" s="163" t="s">
        <v>46</v>
      </c>
      <c r="L3316" s="15">
        <v>5</v>
      </c>
      <c r="M3316" s="188">
        <v>106.2</v>
      </c>
      <c r="N3316" s="176" t="s">
        <v>11</v>
      </c>
    </row>
    <row r="3317" spans="1:14" x14ac:dyDescent="0.25">
      <c r="A3317" s="63" t="s">
        <v>1136</v>
      </c>
      <c r="B3317" s="71" t="s">
        <v>1174</v>
      </c>
      <c r="C3317" s="2">
        <v>4062172072137</v>
      </c>
      <c r="D3317" s="103"/>
      <c r="E3317" s="127"/>
      <c r="F3317" s="34" t="s">
        <v>1657</v>
      </c>
      <c r="G3317" s="161" t="str">
        <f>HYPERLINK("https://ledvance.com/pt/product-datasheet/8066/133125","Ficha Técnica")</f>
        <v>Ficha Técnica</v>
      </c>
      <c r="H3317" s="15">
        <v>20</v>
      </c>
      <c r="I3317" s="163"/>
      <c r="J3317" s="15" t="s">
        <v>1934</v>
      </c>
      <c r="K3317" s="163" t="s">
        <v>46</v>
      </c>
      <c r="L3317" s="15">
        <v>5</v>
      </c>
      <c r="M3317" s="188">
        <v>217.1</v>
      </c>
      <c r="N3317" s="176" t="s">
        <v>11</v>
      </c>
    </row>
    <row r="3318" spans="1:14" x14ac:dyDescent="0.25">
      <c r="A3318" s="63" t="s">
        <v>1136</v>
      </c>
      <c r="B3318" s="71" t="s">
        <v>1175</v>
      </c>
      <c r="C3318" s="2">
        <v>4062172072199</v>
      </c>
      <c r="D3318" s="103"/>
      <c r="E3318" s="127"/>
      <c r="F3318" s="34" t="s">
        <v>1657</v>
      </c>
      <c r="G3318" s="161" t="str">
        <f>HYPERLINK("https://ledvance.com/pt/product-datasheet/8067/133119","Ficha Técnica")</f>
        <v>Ficha Técnica</v>
      </c>
      <c r="H3318" s="15">
        <v>25</v>
      </c>
      <c r="I3318" s="163"/>
      <c r="J3318" s="15" t="s">
        <v>1937</v>
      </c>
      <c r="K3318" s="163" t="s">
        <v>46</v>
      </c>
      <c r="L3318" s="15">
        <v>5</v>
      </c>
      <c r="M3318" s="188">
        <v>118.8</v>
      </c>
      <c r="N3318" s="176" t="s">
        <v>11</v>
      </c>
    </row>
    <row r="3319" spans="1:14" x14ac:dyDescent="0.25">
      <c r="A3319" s="67" t="s">
        <v>1136</v>
      </c>
      <c r="B3319" s="83" t="s">
        <v>1176</v>
      </c>
      <c r="C3319" s="153">
        <v>4062172072212</v>
      </c>
      <c r="D3319" s="151"/>
      <c r="E3319" s="152"/>
      <c r="F3319" s="154" t="s">
        <v>1657</v>
      </c>
      <c r="G3319" s="162" t="str">
        <f>HYPERLINK("https://ledvance.com/pt/product-datasheet/8068/133122","Ficha Técnica")</f>
        <v>Ficha Técnica</v>
      </c>
      <c r="H3319" s="155">
        <v>25</v>
      </c>
      <c r="I3319" s="167"/>
      <c r="J3319" s="155" t="s">
        <v>1848</v>
      </c>
      <c r="K3319" s="167" t="s">
        <v>46</v>
      </c>
      <c r="L3319" s="155">
        <v>5</v>
      </c>
      <c r="M3319" s="196">
        <v>129.5</v>
      </c>
      <c r="N3319" s="177" t="s">
        <v>11</v>
      </c>
    </row>
    <row r="3322" spans="1:14" x14ac:dyDescent="0.25">
      <c r="A3322" s="31"/>
      <c r="B3322" s="35"/>
      <c r="C3322" s="55"/>
      <c r="D3322" s="2"/>
      <c r="E3322" s="5"/>
      <c r="F3322" s="16"/>
      <c r="G3322" s="16"/>
      <c r="H3322" s="15"/>
      <c r="I3322" s="15"/>
      <c r="J3322" s="203"/>
      <c r="K3322" s="15"/>
      <c r="L3322" s="15"/>
      <c r="M3322" s="198"/>
      <c r="N3322" s="36"/>
    </row>
    <row r="3323" spans="1:14" ht="18.75" x14ac:dyDescent="0.3">
      <c r="A3323" s="209" t="s">
        <v>1177</v>
      </c>
      <c r="C3323" s="56"/>
      <c r="F3323" s="15"/>
      <c r="G3323" s="15"/>
      <c r="N3323" s="38"/>
    </row>
    <row r="3324" spans="1:14" x14ac:dyDescent="0.25">
      <c r="A3324" s="208" t="s">
        <v>1178</v>
      </c>
      <c r="C3324" s="56"/>
      <c r="F3324" s="15"/>
      <c r="G3324" s="15"/>
      <c r="N3324" s="38"/>
    </row>
    <row r="3325" spans="1:14" x14ac:dyDescent="0.25">
      <c r="A3325" s="208" t="s">
        <v>1179</v>
      </c>
      <c r="C3325" s="56"/>
      <c r="F3325" s="15"/>
      <c r="G3325" s="15"/>
      <c r="N3325" s="38"/>
    </row>
    <row r="3326" spans="1:14" x14ac:dyDescent="0.25">
      <c r="A3326" s="208" t="s">
        <v>1180</v>
      </c>
      <c r="C3326" s="56"/>
      <c r="F3326" s="15"/>
      <c r="G3326" s="15"/>
      <c r="N3326" s="38"/>
    </row>
    <row r="3327" spans="1:14" x14ac:dyDescent="0.25">
      <c r="A3327" s="208" t="s">
        <v>1181</v>
      </c>
      <c r="C3327" s="56"/>
      <c r="F3327" s="15"/>
      <c r="G3327" s="15"/>
      <c r="N3327" s="38"/>
    </row>
    <row r="3328" spans="1:14" x14ac:dyDescent="0.25">
      <c r="A3328" s="32"/>
      <c r="C3328" s="56"/>
      <c r="F3328" s="15"/>
      <c r="G3328" s="15"/>
      <c r="N3328" s="38"/>
    </row>
    <row r="3329" spans="1:14" x14ac:dyDescent="0.25">
      <c r="A3329" s="39" t="s">
        <v>1182</v>
      </c>
      <c r="C3329" s="56"/>
      <c r="F3329" s="15"/>
      <c r="G3329" s="15"/>
      <c r="N3329" s="38"/>
    </row>
    <row r="3330" spans="1:14" x14ac:dyDescent="0.25">
      <c r="A3330" s="40" t="s">
        <v>1183</v>
      </c>
      <c r="C3330" s="56"/>
      <c r="F3330" s="15"/>
      <c r="G3330" s="15"/>
      <c r="N3330" s="38"/>
    </row>
    <row r="3331" spans="1:14" x14ac:dyDescent="0.25">
      <c r="A3331" s="41" t="s">
        <v>1184</v>
      </c>
      <c r="C3331" s="56"/>
      <c r="F3331" s="15"/>
      <c r="G3331" s="15"/>
      <c r="N3331" s="38"/>
    </row>
    <row r="3332" spans="1:14" x14ac:dyDescent="0.25">
      <c r="A3332" s="42" t="s">
        <v>1185</v>
      </c>
      <c r="C3332" s="56"/>
      <c r="F3332" s="15"/>
      <c r="G3332" s="15"/>
      <c r="N3332" s="38"/>
    </row>
    <row r="3333" spans="1:14" x14ac:dyDescent="0.25">
      <c r="A3333" s="43" t="s">
        <v>1186</v>
      </c>
      <c r="C3333" s="56"/>
      <c r="F3333" s="15"/>
      <c r="G3333" s="15"/>
      <c r="N3333" s="38"/>
    </row>
    <row r="3334" spans="1:14" x14ac:dyDescent="0.25">
      <c r="C3334" s="56"/>
      <c r="F3334" s="15"/>
      <c r="G3334" s="15"/>
      <c r="N3334" s="38"/>
    </row>
    <row r="3335" spans="1:14" x14ac:dyDescent="0.25">
      <c r="C3335" s="56"/>
      <c r="F3335" s="15"/>
      <c r="G3335" s="15"/>
      <c r="N3335" s="38"/>
    </row>
    <row r="3336" spans="1:14" x14ac:dyDescent="0.25">
      <c r="C3336" s="56"/>
      <c r="F3336" s="15"/>
      <c r="G3336" s="15"/>
      <c r="N3336" s="38"/>
    </row>
    <row r="3337" spans="1:14" x14ac:dyDescent="0.25">
      <c r="C3337" s="56"/>
      <c r="F3337" s="15"/>
      <c r="G3337" s="15"/>
      <c r="N3337" s="38"/>
    </row>
    <row r="3338" spans="1:14" x14ac:dyDescent="0.25">
      <c r="A3338" s="37"/>
      <c r="C3338" s="56"/>
      <c r="F3338" s="15"/>
      <c r="G3338" s="15"/>
      <c r="H3338" s="38"/>
      <c r="I3338" s="38"/>
      <c r="J3338" s="44"/>
      <c r="K3338" s="38"/>
      <c r="L3338" s="38"/>
      <c r="N3338" s="38"/>
    </row>
  </sheetData>
  <phoneticPr fontId="70" type="noConversion"/>
  <hyperlinks>
    <hyperlink ref="G3222" r:id="rId1" xr:uid="{A4D10C81-9D2F-4A4A-973A-3C85323ECCDC}"/>
    <hyperlink ref="G3225" r:id="rId2" xr:uid="{7495BA1C-2A94-471A-BFAA-84C5A06EDA1F}"/>
    <hyperlink ref="G3227" r:id="rId3" xr:uid="{42CF14D7-35A5-466D-A526-7BD7DF69382F}"/>
    <hyperlink ref="G3228" r:id="rId4" xr:uid="{B6C0308F-8037-4141-A708-4E8E7D0B7ACE}"/>
    <hyperlink ref="G3250" r:id="rId5" xr:uid="{62B192B7-1A8C-4EB6-8C92-F34D350DCE68}"/>
    <hyperlink ref="G3252" r:id="rId6" xr:uid="{507428FC-FDA2-40E3-9CC0-A6435714B470}"/>
    <hyperlink ref="G947" r:id="rId7" xr:uid="{3ECBB2FB-50C3-4DD3-939B-8122829A48FB}"/>
    <hyperlink ref="G948" r:id="rId8" xr:uid="{3267B606-C6BA-42C0-BE4C-449A72958B27}"/>
    <hyperlink ref="G949" r:id="rId9" xr:uid="{E3921170-7563-4521-AA3C-41D4723228D5}"/>
    <hyperlink ref="G950" r:id="rId10" xr:uid="{3E1BE73E-F393-4BD7-B66C-C3B9A736F0E2}"/>
    <hyperlink ref="G951" r:id="rId11" xr:uid="{AF56546D-DB87-4398-884A-1AD764885BF8}"/>
    <hyperlink ref="G952" r:id="rId12" xr:uid="{217440C6-7DD6-443A-BCC3-E9E86D1F67E8}"/>
    <hyperlink ref="G2919" r:id="rId13" xr:uid="{185E8565-D5EC-41C9-B269-03F5F1BDE592}"/>
  </hyperlinks>
  <pageMargins left="0.7" right="0.7" top="0.75" bottom="0.75" header="0.3" footer="0.3"/>
  <pageSetup paperSize="9" orientation="portrait" r:id="rId14"/>
  <ignoredErrors>
    <ignoredError sqref="A3:J3319" numberStoredAsText="1"/>
  </ignoredErrors>
  <drawing r:id="rId1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6C6C5686AEBEE48AA04C922CB6AB7FB" ma:contentTypeVersion="17" ma:contentTypeDescription="Criar um novo documento." ma:contentTypeScope="" ma:versionID="5c01d8de650f6e967e08a4c365680f46">
  <xsd:schema xmlns:xsd="http://www.w3.org/2001/XMLSchema" xmlns:xs="http://www.w3.org/2001/XMLSchema" xmlns:p="http://schemas.microsoft.com/office/2006/metadata/properties" xmlns:ns2="46c6d5d0-4430-4cf9-8b3a-d92a67642c86" xmlns:ns3="d39b361e-f530-490a-883a-664bab934b0b" targetNamespace="http://schemas.microsoft.com/office/2006/metadata/properties" ma:root="true" ma:fieldsID="a4c83865577f86e7827f628fbee7a606" ns2:_="" ns3:_="">
    <xsd:import namespace="46c6d5d0-4430-4cf9-8b3a-d92a67642c86"/>
    <xsd:import namespace="d39b361e-f530-490a-883a-664bab934b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c6d5d0-4430-4cf9-8b3a-d92a67642c8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361e-f530-490a-883a-664bab934b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m" ma:readOnly="false" ma:fieldId="{5cf76f15-5ced-4ddc-b409-7134ff3c332f}" ma:taxonomyMulti="true" ma:sspId="6397b5df-6af8-4b0d-bf9a-c36ae5aed9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9b361e-f530-490a-883a-664bab934b0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64AD9E9-A167-48AC-9D56-933D43B6201C}"/>
</file>

<file path=customXml/itemProps2.xml><?xml version="1.0" encoding="utf-8"?>
<ds:datastoreItem xmlns:ds="http://schemas.openxmlformats.org/officeDocument/2006/customXml" ds:itemID="{47A77399-9893-411C-B58E-7AC1DEB8C8B0}"/>
</file>

<file path=customXml/itemProps3.xml><?xml version="1.0" encoding="utf-8"?>
<ds:datastoreItem xmlns:ds="http://schemas.openxmlformats.org/officeDocument/2006/customXml" ds:itemID="{DD037C5C-3BC7-4EB2-AD41-848B192531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Portefólio PROFISSIONAL (B2B)</vt:lpstr>
    </vt:vector>
  </TitlesOfParts>
  <Company>LEDVANCE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Mocho, Marlene</dc:creator>
  <cp:lastModifiedBy>Globlec | José Bartissol</cp:lastModifiedBy>
  <dcterms:created xsi:type="dcterms:W3CDTF">2024-09-10T15:02:29Z</dcterms:created>
  <dcterms:modified xsi:type="dcterms:W3CDTF">2025-03-17T10:33:07Z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0x01010006C6C5686AEBEE48AA04C922CB6AB7FB</vt:lpwstr>
  </property>
</Properties>
</file>